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uah009q\Desktop\Burocrazia\Uni\"/>
    </mc:Choice>
  </mc:AlternateContent>
  <bookViews>
    <workbookView xWindow="0" yWindow="0" windowWidth="19200" windowHeight="5600" activeTab="2"/>
  </bookViews>
  <sheets>
    <sheet name="firms" sheetId="1" r:id="rId1"/>
    <sheet name="Analisi per Zona-Paese" sheetId="2" r:id="rId2"/>
    <sheet name="Tabelle" sheetId="4" r:id="rId3"/>
    <sheet name="Grafici" sheetId="3" r:id="rId4"/>
  </sheets>
  <calcPr calcId="162913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 l="1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34" i="4"/>
  <c r="F3" i="4" l="1"/>
  <c r="F4" i="4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3" i="1"/>
  <c r="I34" i="1"/>
  <c r="I35" i="1"/>
  <c r="I36" i="1"/>
  <c r="I37" i="1"/>
  <c r="I38" i="1"/>
  <c r="I39" i="1"/>
  <c r="I40" i="1"/>
  <c r="I41" i="1"/>
  <c r="I42" i="1"/>
  <c r="I43" i="1"/>
  <c r="I44" i="1"/>
  <c r="I46" i="1"/>
  <c r="I47" i="1"/>
  <c r="I48" i="1"/>
  <c r="I49" i="1"/>
  <c r="I50" i="1"/>
  <c r="I51" i="1"/>
  <c r="I52" i="1"/>
  <c r="I53" i="1"/>
  <c r="I55" i="1"/>
  <c r="I56" i="1"/>
  <c r="I57" i="1"/>
  <c r="I60" i="1"/>
  <c r="I61" i="1"/>
  <c r="I62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7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2" i="1"/>
  <c r="I123" i="1"/>
  <c r="I124" i="1"/>
  <c r="I125" i="1"/>
  <c r="I126" i="1"/>
  <c r="I127" i="1"/>
  <c r="I128" i="1"/>
  <c r="I129" i="1"/>
  <c r="I130" i="1"/>
  <c r="I131" i="1"/>
  <c r="I132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2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F5" i="4" l="1"/>
  <c r="F6" i="4" s="1"/>
  <c r="B8" i="4"/>
  <c r="G5" i="4" l="1"/>
  <c r="G4" i="4"/>
  <c r="G3" i="4"/>
  <c r="C3" i="4"/>
  <c r="C4" i="4"/>
  <c r="C5" i="4"/>
  <c r="C6" i="4"/>
  <c r="C7" i="4"/>
  <c r="F19" i="4"/>
  <c r="F18" i="4"/>
  <c r="F17" i="4"/>
  <c r="F16" i="4"/>
  <c r="F15" i="4"/>
  <c r="F14" i="4"/>
  <c r="F13" i="4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G6" i="4" l="1"/>
  <c r="C8" i="4"/>
  <c r="C33" i="4"/>
  <c r="D33" i="4" s="1"/>
  <c r="C30" i="4"/>
  <c r="D30" i="4" s="1"/>
  <c r="C31" i="4"/>
  <c r="D31" i="4" s="1"/>
  <c r="C32" i="4"/>
  <c r="D32" i="4" s="1"/>
  <c r="C48" i="4"/>
  <c r="D48" i="4" s="1"/>
  <c r="C34" i="4"/>
  <c r="D34" i="4" s="1"/>
  <c r="V27" i="2"/>
  <c r="G27" i="2"/>
  <c r="C27" i="2"/>
  <c r="D27" i="2" s="1"/>
  <c r="V26" i="2"/>
  <c r="G26" i="2"/>
  <c r="C26" i="2"/>
  <c r="R25" i="2"/>
  <c r="Q25" i="2"/>
  <c r="P25" i="2"/>
  <c r="L25" i="2"/>
  <c r="K25" i="2"/>
  <c r="J25" i="2"/>
  <c r="I25" i="2"/>
  <c r="V23" i="2"/>
  <c r="G23" i="2"/>
  <c r="C23" i="2"/>
  <c r="D23" i="2" s="1"/>
  <c r="V22" i="2"/>
  <c r="G22" i="2"/>
  <c r="C22" i="2"/>
  <c r="D22" i="2" s="1"/>
  <c r="R21" i="2"/>
  <c r="Q21" i="2"/>
  <c r="P21" i="2"/>
  <c r="L21" i="2"/>
  <c r="K21" i="2"/>
  <c r="J21" i="2"/>
  <c r="I21" i="2"/>
  <c r="V19" i="2"/>
  <c r="G19" i="2"/>
  <c r="C19" i="2"/>
  <c r="V18" i="2"/>
  <c r="G18" i="2"/>
  <c r="C18" i="2"/>
  <c r="V17" i="2"/>
  <c r="G17" i="2"/>
  <c r="C17" i="2"/>
  <c r="R16" i="2"/>
  <c r="Q16" i="2"/>
  <c r="P16" i="2"/>
  <c r="L16" i="2"/>
  <c r="K16" i="2"/>
  <c r="J16" i="2"/>
  <c r="I16" i="2"/>
  <c r="V14" i="2"/>
  <c r="G14" i="2"/>
  <c r="C14" i="2"/>
  <c r="V13" i="2"/>
  <c r="G13" i="2"/>
  <c r="C13" i="2"/>
  <c r="V12" i="2"/>
  <c r="G12" i="2"/>
  <c r="C12" i="2"/>
  <c r="D12" i="2" s="1"/>
  <c r="V11" i="2"/>
  <c r="G11" i="2"/>
  <c r="C11" i="2"/>
  <c r="D11" i="2" s="1"/>
  <c r="R10" i="2"/>
  <c r="Q10" i="2"/>
  <c r="P10" i="2"/>
  <c r="L10" i="2"/>
  <c r="K10" i="2"/>
  <c r="J10" i="2"/>
  <c r="I10" i="2"/>
  <c r="V8" i="2"/>
  <c r="G8" i="2"/>
  <c r="C8" i="2"/>
  <c r="V7" i="2"/>
  <c r="G7" i="2"/>
  <c r="C7" i="2"/>
  <c r="V6" i="2"/>
  <c r="G6" i="2"/>
  <c r="C6" i="2"/>
  <c r="V5" i="2"/>
  <c r="G5" i="2"/>
  <c r="C5" i="2"/>
  <c r="D5" i="2" s="1"/>
  <c r="R4" i="2"/>
  <c r="Q4" i="2"/>
  <c r="P4" i="2"/>
  <c r="L4" i="2"/>
  <c r="K4" i="2"/>
  <c r="J4" i="2"/>
  <c r="I4" i="2"/>
  <c r="N207" i="1"/>
  <c r="N206" i="1"/>
  <c r="N205" i="1"/>
  <c r="N204" i="1"/>
  <c r="D204" i="1"/>
  <c r="N203" i="1"/>
  <c r="D203" i="1"/>
  <c r="N202" i="1"/>
  <c r="D202" i="1"/>
  <c r="N201" i="1"/>
  <c r="D201" i="1"/>
  <c r="N200" i="1"/>
  <c r="D200" i="1"/>
  <c r="N199" i="1"/>
  <c r="N198" i="1"/>
  <c r="D198" i="1"/>
  <c r="N197" i="1"/>
  <c r="D197" i="1"/>
  <c r="N196" i="1"/>
  <c r="N195" i="1"/>
  <c r="D195" i="1"/>
  <c r="N194" i="1"/>
  <c r="D194" i="1"/>
  <c r="N193" i="1"/>
  <c r="D193" i="1"/>
  <c r="N192" i="1"/>
  <c r="D192" i="1"/>
  <c r="N191" i="1"/>
  <c r="D191" i="1"/>
  <c r="N190" i="1"/>
  <c r="D190" i="1"/>
  <c r="N189" i="1"/>
  <c r="D189" i="1"/>
  <c r="N188" i="1"/>
  <c r="D188" i="1"/>
  <c r="N187" i="1"/>
  <c r="D187" i="1"/>
  <c r="N186" i="1"/>
  <c r="D186" i="1"/>
  <c r="N185" i="1"/>
  <c r="D185" i="1"/>
  <c r="N184" i="1"/>
  <c r="D184" i="1"/>
  <c r="N183" i="1"/>
  <c r="D183" i="1"/>
  <c r="N182" i="1"/>
  <c r="D182" i="1"/>
  <c r="N181" i="1"/>
  <c r="D181" i="1"/>
  <c r="N180" i="1"/>
  <c r="D180" i="1"/>
  <c r="N179" i="1"/>
  <c r="D179" i="1"/>
  <c r="N178" i="1"/>
  <c r="D178" i="1"/>
  <c r="N177" i="1"/>
  <c r="N176" i="1"/>
  <c r="D176" i="1"/>
  <c r="N175" i="1"/>
  <c r="D175" i="1"/>
  <c r="N174" i="1"/>
  <c r="D174" i="1"/>
  <c r="N173" i="1"/>
  <c r="N172" i="1"/>
  <c r="N171" i="1"/>
  <c r="D171" i="1"/>
  <c r="N170" i="1"/>
  <c r="D170" i="1"/>
  <c r="N169" i="1"/>
  <c r="D169" i="1"/>
  <c r="N168" i="1"/>
  <c r="D168" i="1"/>
  <c r="N167" i="1"/>
  <c r="D167" i="1"/>
  <c r="N166" i="1"/>
  <c r="D166" i="1"/>
  <c r="N165" i="1"/>
  <c r="D165" i="1"/>
  <c r="N164" i="1"/>
  <c r="D164" i="1"/>
  <c r="N163" i="1"/>
  <c r="D163" i="1"/>
  <c r="N162" i="1"/>
  <c r="D162" i="1"/>
  <c r="N161" i="1"/>
  <c r="N160" i="1"/>
  <c r="D160" i="1"/>
  <c r="N159" i="1"/>
  <c r="D159" i="1"/>
  <c r="N158" i="1"/>
  <c r="D158" i="1"/>
  <c r="N157" i="1"/>
  <c r="D157" i="1"/>
  <c r="N156" i="1"/>
  <c r="D156" i="1"/>
  <c r="N155" i="1"/>
  <c r="D155" i="1"/>
  <c r="N154" i="1"/>
  <c r="D154" i="1"/>
  <c r="N153" i="1"/>
  <c r="D153" i="1"/>
  <c r="N152" i="1"/>
  <c r="D152" i="1"/>
  <c r="N151" i="1"/>
  <c r="D151" i="1"/>
  <c r="N150" i="1"/>
  <c r="D150" i="1"/>
  <c r="N149" i="1"/>
  <c r="D149" i="1"/>
  <c r="N148" i="1"/>
  <c r="D148" i="1"/>
  <c r="N147" i="1"/>
  <c r="D147" i="1"/>
  <c r="N146" i="1"/>
  <c r="D146" i="1"/>
  <c r="N145" i="1"/>
  <c r="D145" i="1"/>
  <c r="N144" i="1"/>
  <c r="D144" i="1"/>
  <c r="N143" i="1"/>
  <c r="D143" i="1"/>
  <c r="N142" i="1"/>
  <c r="D142" i="1"/>
  <c r="N141" i="1"/>
  <c r="D141" i="1"/>
  <c r="N140" i="1"/>
  <c r="D140" i="1"/>
  <c r="N139" i="1"/>
  <c r="D139" i="1"/>
  <c r="N138" i="1"/>
  <c r="D138" i="1"/>
  <c r="N137" i="1"/>
  <c r="D137" i="1"/>
  <c r="N136" i="1"/>
  <c r="D136" i="1"/>
  <c r="N135" i="1"/>
  <c r="D135" i="1"/>
  <c r="N134" i="1"/>
  <c r="D134" i="1"/>
  <c r="N133" i="1"/>
  <c r="D133" i="1"/>
  <c r="N132" i="1"/>
  <c r="D132" i="1"/>
  <c r="N131" i="1"/>
  <c r="D131" i="1"/>
  <c r="N130" i="1"/>
  <c r="D130" i="1"/>
  <c r="N129" i="1"/>
  <c r="D129" i="1"/>
  <c r="N128" i="1"/>
  <c r="D128" i="1"/>
  <c r="N127" i="1"/>
  <c r="D127" i="1"/>
  <c r="N126" i="1"/>
  <c r="D126" i="1"/>
  <c r="N125" i="1"/>
  <c r="D125" i="1"/>
  <c r="N124" i="1"/>
  <c r="D124" i="1"/>
  <c r="N123" i="1"/>
  <c r="D123" i="1"/>
  <c r="N122" i="1"/>
  <c r="D122" i="1"/>
  <c r="N121" i="1"/>
  <c r="D121" i="1"/>
  <c r="N120" i="1"/>
  <c r="D120" i="1"/>
  <c r="F27" i="2" s="1"/>
  <c r="N119" i="1"/>
  <c r="D119" i="1"/>
  <c r="N118" i="1"/>
  <c r="D118" i="1"/>
  <c r="N117" i="1"/>
  <c r="D117" i="1"/>
  <c r="N116" i="1"/>
  <c r="D116" i="1"/>
  <c r="N115" i="1"/>
  <c r="D115" i="1"/>
  <c r="N114" i="1"/>
  <c r="D114" i="1"/>
  <c r="N113" i="1"/>
  <c r="D113" i="1"/>
  <c r="N112" i="1"/>
  <c r="D112" i="1"/>
  <c r="N111" i="1"/>
  <c r="D111" i="1"/>
  <c r="N110" i="1"/>
  <c r="D110" i="1"/>
  <c r="N109" i="1"/>
  <c r="D109" i="1"/>
  <c r="N108" i="1"/>
  <c r="D108" i="1"/>
  <c r="N107" i="1"/>
  <c r="D107" i="1"/>
  <c r="N106" i="1"/>
  <c r="D106" i="1"/>
  <c r="N105" i="1"/>
  <c r="D105" i="1"/>
  <c r="N104" i="1"/>
  <c r="D104" i="1"/>
  <c r="N103" i="1"/>
  <c r="D103" i="1"/>
  <c r="N102" i="1"/>
  <c r="D102" i="1"/>
  <c r="N101" i="1"/>
  <c r="D101" i="1"/>
  <c r="N100" i="1"/>
  <c r="D100" i="1"/>
  <c r="N99" i="1"/>
  <c r="D99" i="1"/>
  <c r="N98" i="1"/>
  <c r="D98" i="1"/>
  <c r="N97" i="1"/>
  <c r="D97" i="1"/>
  <c r="N96" i="1"/>
  <c r="D96" i="1"/>
  <c r="N95" i="1"/>
  <c r="D95" i="1"/>
  <c r="N94" i="1"/>
  <c r="D94" i="1"/>
  <c r="N93" i="1"/>
  <c r="D93" i="1"/>
  <c r="N92" i="1"/>
  <c r="D92" i="1"/>
  <c r="N91" i="1"/>
  <c r="D91" i="1"/>
  <c r="N90" i="1"/>
  <c r="D90" i="1"/>
  <c r="N89" i="1"/>
  <c r="D89" i="1"/>
  <c r="N88" i="1"/>
  <c r="D88" i="1"/>
  <c r="N87" i="1"/>
  <c r="D87" i="1"/>
  <c r="N86" i="1"/>
  <c r="D86" i="1"/>
  <c r="N85" i="1"/>
  <c r="D85" i="1"/>
  <c r="N84" i="1"/>
  <c r="D84" i="1"/>
  <c r="N83" i="1"/>
  <c r="D83" i="1"/>
  <c r="N82" i="1"/>
  <c r="D82" i="1"/>
  <c r="N81" i="1"/>
  <c r="D81" i="1"/>
  <c r="N80" i="1"/>
  <c r="D80" i="1"/>
  <c r="N79" i="1"/>
  <c r="D79" i="1"/>
  <c r="N78" i="1"/>
  <c r="D78" i="1"/>
  <c r="N77" i="1"/>
  <c r="D77" i="1"/>
  <c r="N76" i="1"/>
  <c r="D76" i="1"/>
  <c r="N75" i="1"/>
  <c r="D75" i="1"/>
  <c r="N74" i="1"/>
  <c r="D74" i="1"/>
  <c r="N73" i="1"/>
  <c r="D73" i="1"/>
  <c r="N72" i="1"/>
  <c r="D72" i="1"/>
  <c r="N71" i="1"/>
  <c r="D71" i="1"/>
  <c r="N70" i="1"/>
  <c r="D70" i="1"/>
  <c r="N69" i="1"/>
  <c r="D69" i="1"/>
  <c r="N68" i="1"/>
  <c r="D68" i="1"/>
  <c r="N67" i="1"/>
  <c r="D67" i="1"/>
  <c r="N66" i="1"/>
  <c r="D66" i="1"/>
  <c r="N65" i="1"/>
  <c r="D65" i="1"/>
  <c r="N64" i="1"/>
  <c r="D64" i="1"/>
  <c r="N63" i="1"/>
  <c r="D63" i="1"/>
  <c r="N62" i="1"/>
  <c r="D62" i="1"/>
  <c r="N61" i="1"/>
  <c r="D61" i="1"/>
  <c r="N60" i="1"/>
  <c r="D60" i="1"/>
  <c r="N59" i="1"/>
  <c r="D59" i="1"/>
  <c r="N58" i="1"/>
  <c r="D58" i="1"/>
  <c r="N57" i="1"/>
  <c r="D57" i="1"/>
  <c r="N56" i="1"/>
  <c r="D56" i="1"/>
  <c r="N55" i="1"/>
  <c r="D55" i="1"/>
  <c r="N54" i="1"/>
  <c r="D54" i="1"/>
  <c r="N53" i="1"/>
  <c r="D53" i="1"/>
  <c r="N52" i="1"/>
  <c r="D52" i="1"/>
  <c r="N51" i="1"/>
  <c r="D51" i="1"/>
  <c r="N50" i="1"/>
  <c r="D50" i="1"/>
  <c r="N49" i="1"/>
  <c r="D49" i="1"/>
  <c r="N48" i="1"/>
  <c r="D48" i="1"/>
  <c r="N47" i="1"/>
  <c r="D47" i="1"/>
  <c r="N46" i="1"/>
  <c r="D46" i="1"/>
  <c r="N45" i="1"/>
  <c r="D45" i="1"/>
  <c r="N44" i="1"/>
  <c r="D44" i="1"/>
  <c r="N43" i="1"/>
  <c r="D43" i="1"/>
  <c r="N42" i="1"/>
  <c r="D42" i="1"/>
  <c r="N41" i="1"/>
  <c r="D41" i="1"/>
  <c r="N40" i="1"/>
  <c r="D40" i="1"/>
  <c r="N39" i="1"/>
  <c r="D39" i="1"/>
  <c r="N38" i="1"/>
  <c r="D38" i="1"/>
  <c r="N37" i="1"/>
  <c r="D37" i="1"/>
  <c r="N36" i="1"/>
  <c r="D36" i="1"/>
  <c r="N35" i="1"/>
  <c r="D35" i="1"/>
  <c r="N34" i="1"/>
  <c r="D34" i="1"/>
  <c r="N33" i="1"/>
  <c r="D33" i="1"/>
  <c r="N32" i="1"/>
  <c r="D32" i="1"/>
  <c r="H5" i="4" s="1"/>
  <c r="N31" i="1"/>
  <c r="D31" i="1"/>
  <c r="N30" i="1"/>
  <c r="D30" i="1"/>
  <c r="N29" i="1"/>
  <c r="D29" i="1"/>
  <c r="N28" i="1"/>
  <c r="D28" i="1"/>
  <c r="N27" i="1"/>
  <c r="D27" i="1"/>
  <c r="N26" i="1"/>
  <c r="D26" i="1"/>
  <c r="N25" i="1"/>
  <c r="D25" i="1"/>
  <c r="N24" i="1"/>
  <c r="D24" i="1"/>
  <c r="N23" i="1"/>
  <c r="D23" i="1"/>
  <c r="N22" i="1"/>
  <c r="D22" i="1"/>
  <c r="N21" i="1"/>
  <c r="D21" i="1"/>
  <c r="N20" i="1"/>
  <c r="D20" i="1"/>
  <c r="N19" i="1"/>
  <c r="D19" i="1"/>
  <c r="N18" i="1"/>
  <c r="D18" i="1"/>
  <c r="N17" i="1"/>
  <c r="D17" i="1"/>
  <c r="N16" i="1"/>
  <c r="D16" i="1"/>
  <c r="N15" i="1"/>
  <c r="D15" i="1"/>
  <c r="N14" i="1"/>
  <c r="D14" i="1"/>
  <c r="N13" i="1"/>
  <c r="D13" i="1"/>
  <c r="N12" i="1"/>
  <c r="D12" i="1"/>
  <c r="N11" i="1"/>
  <c r="D11" i="1"/>
  <c r="N10" i="1"/>
  <c r="D10" i="1"/>
  <c r="N9" i="1"/>
  <c r="D9" i="1"/>
  <c r="N8" i="1"/>
  <c r="D8" i="1"/>
  <c r="N7" i="1"/>
  <c r="D7" i="1"/>
  <c r="N6" i="1"/>
  <c r="D6" i="1"/>
  <c r="N5" i="1"/>
  <c r="D5" i="1"/>
  <c r="N4" i="1"/>
  <c r="D4" i="1"/>
  <c r="N3" i="1"/>
  <c r="D3" i="1"/>
  <c r="N2" i="1"/>
  <c r="D2" i="1"/>
  <c r="H4" i="4" l="1"/>
  <c r="H3" i="4"/>
  <c r="M19" i="2"/>
  <c r="N19" i="2" s="1"/>
  <c r="I29" i="2"/>
  <c r="J29" i="2"/>
  <c r="K29" i="2"/>
  <c r="L29" i="2"/>
  <c r="R29" i="2"/>
  <c r="M6" i="2"/>
  <c r="S6" i="2" s="1"/>
  <c r="M26" i="2"/>
  <c r="S26" i="2" s="1"/>
  <c r="M13" i="2"/>
  <c r="M18" i="2"/>
  <c r="I36" i="4"/>
  <c r="I34" i="4"/>
  <c r="I35" i="4"/>
  <c r="D21" i="2"/>
  <c r="F14" i="2"/>
  <c r="F22" i="2"/>
  <c r="F19" i="2"/>
  <c r="F13" i="2"/>
  <c r="F6" i="2"/>
  <c r="F5" i="2"/>
  <c r="H26" i="2"/>
  <c r="H6" i="2"/>
  <c r="M7" i="2"/>
  <c r="V25" i="2"/>
  <c r="W26" i="2" s="1"/>
  <c r="V10" i="2"/>
  <c r="W13" i="2" s="1"/>
  <c r="M23" i="2"/>
  <c r="H11" i="2"/>
  <c r="M27" i="2"/>
  <c r="V4" i="2"/>
  <c r="W6" i="2" s="1"/>
  <c r="D18" i="2"/>
  <c r="H27" i="2"/>
  <c r="F23" i="2"/>
  <c r="H18" i="2"/>
  <c r="V21" i="2"/>
  <c r="W22" i="2" s="1"/>
  <c r="C25" i="2"/>
  <c r="E27" i="2" s="1"/>
  <c r="F17" i="2"/>
  <c r="G25" i="2"/>
  <c r="G4" i="2"/>
  <c r="F4" i="2"/>
  <c r="F11" i="2"/>
  <c r="F21" i="2"/>
  <c r="F8" i="2"/>
  <c r="D14" i="2"/>
  <c r="S19" i="2"/>
  <c r="T19" i="2"/>
  <c r="H5" i="2"/>
  <c r="S7" i="2"/>
  <c r="H8" i="2"/>
  <c r="S13" i="2"/>
  <c r="U13" i="2"/>
  <c r="T13" i="2"/>
  <c r="M14" i="2"/>
  <c r="D19" i="2"/>
  <c r="M5" i="2"/>
  <c r="D7" i="2"/>
  <c r="D13" i="2"/>
  <c r="H19" i="2"/>
  <c r="I33" i="4"/>
  <c r="I32" i="4"/>
  <c r="I31" i="4"/>
  <c r="I30" i="4"/>
  <c r="F26" i="2"/>
  <c r="F12" i="2"/>
  <c r="F10" i="2"/>
  <c r="H13" i="2"/>
  <c r="U19" i="2"/>
  <c r="M8" i="2"/>
  <c r="G16" i="2"/>
  <c r="H17" i="2"/>
  <c r="G10" i="2"/>
  <c r="M11" i="2"/>
  <c r="G21" i="2"/>
  <c r="H23" i="2"/>
  <c r="B18" i="4"/>
  <c r="C18" i="4" s="1"/>
  <c r="B14" i="4"/>
  <c r="C14" i="4" s="1"/>
  <c r="B17" i="4"/>
  <c r="C17" i="4" s="1"/>
  <c r="B13" i="4"/>
  <c r="C13" i="4" s="1"/>
  <c r="H7" i="2"/>
  <c r="F25" i="2"/>
  <c r="F7" i="2"/>
  <c r="D8" i="2"/>
  <c r="H14" i="2"/>
  <c r="M12" i="2"/>
  <c r="C10" i="2"/>
  <c r="E14" i="2" s="1"/>
  <c r="M17" i="2"/>
  <c r="C16" i="2"/>
  <c r="B15" i="4"/>
  <c r="C15" i="4" s="1"/>
  <c r="F18" i="2"/>
  <c r="F16" i="2"/>
  <c r="D6" i="2"/>
  <c r="D17" i="2"/>
  <c r="X19" i="2"/>
  <c r="C4" i="2"/>
  <c r="H12" i="2"/>
  <c r="X13" i="2"/>
  <c r="V16" i="2"/>
  <c r="M22" i="2"/>
  <c r="C21" i="2"/>
  <c r="E22" i="2" s="1"/>
  <c r="B16" i="4"/>
  <c r="C16" i="4" s="1"/>
  <c r="H22" i="2"/>
  <c r="D26" i="2"/>
  <c r="D25" i="2" s="1"/>
  <c r="T18" i="2"/>
  <c r="P29" i="2"/>
  <c r="U18" i="2"/>
  <c r="Q29" i="2"/>
  <c r="T6" i="2" l="1"/>
  <c r="W7" i="2"/>
  <c r="M4" i="2"/>
  <c r="O7" i="2" s="1"/>
  <c r="X26" i="2"/>
  <c r="X22" i="2"/>
  <c r="N22" i="2"/>
  <c r="N17" i="2"/>
  <c r="S12" i="2"/>
  <c r="N12" i="2"/>
  <c r="S11" i="2"/>
  <c r="N11" i="2"/>
  <c r="U8" i="2"/>
  <c r="N8" i="2"/>
  <c r="U5" i="2"/>
  <c r="O5" i="2"/>
  <c r="N5" i="2"/>
  <c r="S14" i="2"/>
  <c r="N14" i="2"/>
  <c r="U27" i="2"/>
  <c r="N27" i="2"/>
  <c r="U23" i="2"/>
  <c r="N23" i="2"/>
  <c r="T7" i="2"/>
  <c r="N7" i="2"/>
  <c r="S18" i="2"/>
  <c r="N18" i="2"/>
  <c r="N13" i="2"/>
  <c r="T26" i="2"/>
  <c r="N26" i="2"/>
  <c r="U6" i="2"/>
  <c r="N6" i="2"/>
  <c r="X6" i="2"/>
  <c r="U26" i="2"/>
  <c r="U7" i="2"/>
  <c r="X18" i="2"/>
  <c r="H4" i="2"/>
  <c r="X7" i="2"/>
  <c r="D10" i="2"/>
  <c r="T5" i="2"/>
  <c r="S23" i="2"/>
  <c r="X14" i="2"/>
  <c r="W27" i="2"/>
  <c r="E26" i="2"/>
  <c r="E25" i="2" s="1"/>
  <c r="W23" i="2"/>
  <c r="X23" i="2"/>
  <c r="M25" i="2"/>
  <c r="S5" i="2"/>
  <c r="T8" i="2"/>
  <c r="W12" i="2"/>
  <c r="W14" i="2"/>
  <c r="W5" i="2"/>
  <c r="D4" i="2"/>
  <c r="W11" i="2"/>
  <c r="S27" i="2"/>
  <c r="W8" i="2"/>
  <c r="T23" i="2"/>
  <c r="M16" i="2"/>
  <c r="X5" i="2"/>
  <c r="S4" i="2"/>
  <c r="G29" i="2"/>
  <c r="H25" i="2"/>
  <c r="T27" i="2"/>
  <c r="X27" i="2"/>
  <c r="T12" i="2"/>
  <c r="H16" i="2"/>
  <c r="E8" i="2"/>
  <c r="E12" i="2"/>
  <c r="S8" i="2"/>
  <c r="X8" i="2"/>
  <c r="S22" i="2"/>
  <c r="U22" i="2"/>
  <c r="T22" i="2"/>
  <c r="E7" i="2"/>
  <c r="E5" i="2"/>
  <c r="W18" i="2"/>
  <c r="W17" i="2"/>
  <c r="V29" i="2"/>
  <c r="W16" i="2" s="1"/>
  <c r="U17" i="2"/>
  <c r="X17" i="2"/>
  <c r="U11" i="2"/>
  <c r="X11" i="2"/>
  <c r="W19" i="2"/>
  <c r="E18" i="2"/>
  <c r="E6" i="2"/>
  <c r="E17" i="2"/>
  <c r="M10" i="2"/>
  <c r="E11" i="2"/>
  <c r="H10" i="2"/>
  <c r="E19" i="2"/>
  <c r="T17" i="2"/>
  <c r="D16" i="2"/>
  <c r="U12" i="2"/>
  <c r="X12" i="2"/>
  <c r="H21" i="2"/>
  <c r="U14" i="2"/>
  <c r="E13" i="2"/>
  <c r="S17" i="2"/>
  <c r="T11" i="2"/>
  <c r="T14" i="2"/>
  <c r="M21" i="2"/>
  <c r="E23" i="2"/>
  <c r="E21" i="2" s="1"/>
  <c r="C29" i="2"/>
  <c r="O8" i="2" l="1"/>
  <c r="O6" i="2"/>
  <c r="O4" i="2" s="1"/>
  <c r="N25" i="2"/>
  <c r="O22" i="2"/>
  <c r="O23" i="2"/>
  <c r="O12" i="2"/>
  <c r="O11" i="2"/>
  <c r="O14" i="2"/>
  <c r="O13" i="2"/>
  <c r="U16" i="2"/>
  <c r="O19" i="2"/>
  <c r="O17" i="2"/>
  <c r="O18" i="2"/>
  <c r="T25" i="2"/>
  <c r="O27" i="2"/>
  <c r="O26" i="2"/>
  <c r="O25" i="2" s="1"/>
  <c r="N4" i="2"/>
  <c r="N10" i="2"/>
  <c r="N16" i="2"/>
  <c r="N21" i="2"/>
  <c r="S25" i="2"/>
  <c r="T16" i="2"/>
  <c r="X16" i="2"/>
  <c r="U25" i="2"/>
  <c r="X25" i="2"/>
  <c r="H29" i="2"/>
  <c r="T4" i="2"/>
  <c r="U4" i="2"/>
  <c r="M29" i="2"/>
  <c r="T29" i="2" s="1"/>
  <c r="D29" i="2"/>
  <c r="S16" i="2"/>
  <c r="X4" i="2"/>
  <c r="E10" i="2"/>
  <c r="E16" i="2"/>
  <c r="T10" i="2"/>
  <c r="U10" i="2"/>
  <c r="S10" i="2"/>
  <c r="X10" i="2"/>
  <c r="X21" i="2"/>
  <c r="S21" i="2"/>
  <c r="U21" i="2"/>
  <c r="T21" i="2"/>
  <c r="W21" i="2"/>
  <c r="W4" i="2"/>
  <c r="W25" i="2"/>
  <c r="W10" i="2"/>
  <c r="E4" i="2"/>
  <c r="N29" i="2" l="1"/>
  <c r="O16" i="2"/>
  <c r="O10" i="2"/>
  <c r="O21" i="2"/>
  <c r="X29" i="2"/>
  <c r="S29" i="2"/>
  <c r="U29" i="2"/>
  <c r="W29" i="2"/>
</calcChain>
</file>

<file path=xl/sharedStrings.xml><?xml version="1.0" encoding="utf-8"?>
<sst xmlns="http://schemas.openxmlformats.org/spreadsheetml/2006/main" count="1001" uniqueCount="533">
  <si>
    <t>NAME</t>
  </si>
  <si>
    <t>foundation_launch_year</t>
  </si>
  <si>
    <t>Cluster Year</t>
  </si>
  <si>
    <t>age</t>
  </si>
  <si>
    <t>Area Geografica</t>
  </si>
  <si>
    <t>COUNTRY_founded_or_current</t>
  </si>
  <si>
    <t>upstream_dr</t>
  </si>
  <si>
    <t>downstream_dr</t>
  </si>
  <si>
    <t>us&amp;ds</t>
  </si>
  <si>
    <t>excluded</t>
  </si>
  <si>
    <t>reason</t>
  </si>
  <si>
    <t>derwent_query</t>
  </si>
  <si>
    <t>derw_pat</t>
  </si>
  <si>
    <t>cluster patent</t>
  </si>
  <si>
    <t>Fleet Space Technologies</t>
  </si>
  <si>
    <t>OCE</t>
  </si>
  <si>
    <t>Australia</t>
  </si>
  <si>
    <t xml:space="preserve">PA=(Fleet ADJ Space) </t>
  </si>
  <si>
    <t>SkyNet Satellite Communications</t>
  </si>
  <si>
    <t xml:space="preserve">PA=(SkyNet ADJ Satellite ADJ Communications) </t>
  </si>
  <si>
    <t>Neumann Space</t>
  </si>
  <si>
    <t xml:space="preserve">PA=(Neumann ADJ Space) </t>
  </si>
  <si>
    <t>Zenno</t>
  </si>
  <si>
    <t xml:space="preserve">PA=(Zenno ADJ Astronautics) </t>
  </si>
  <si>
    <t>Propelle Aerobotics</t>
  </si>
  <si>
    <t xml:space="preserve">PA=(Propeller ADJ Aerobotics) </t>
  </si>
  <si>
    <t>Farmote Systems</t>
  </si>
  <si>
    <t xml:space="preserve">PA=(Farmote) </t>
  </si>
  <si>
    <t>Myriota</t>
  </si>
  <si>
    <t xml:space="preserve">PA=(Myriota) </t>
  </si>
  <si>
    <t>LEGENDA REASONS OF EXCL</t>
  </si>
  <si>
    <t>5X5</t>
  </si>
  <si>
    <t xml:space="preserve">PA=(5x5) </t>
  </si>
  <si>
    <t>big_corp</t>
  </si>
  <si>
    <t>too big company which operates in many different industries</t>
  </si>
  <si>
    <t>Enviroeye</t>
  </si>
  <si>
    <t xml:space="preserve">PA=(Enviroeye) </t>
  </si>
  <si>
    <t>disamb</t>
  </si>
  <si>
    <t>finding the right patent is too complex, name is difficult to differentiate</t>
  </si>
  <si>
    <t>Lat Connect 60</t>
  </si>
  <si>
    <t xml:space="preserve">PA=(Latconnect) </t>
  </si>
  <si>
    <t>different core biz</t>
  </si>
  <si>
    <t>core business is clearly different from aerospace</t>
  </si>
  <si>
    <t>Austal</t>
  </si>
  <si>
    <t xml:space="preserve">PA=(Austal) </t>
  </si>
  <si>
    <t>Rakon</t>
  </si>
  <si>
    <t>PA=(Rakon)</t>
  </si>
  <si>
    <t>General Laser Tochev &amp; Tochev OG</t>
  </si>
  <si>
    <t>FRUG</t>
  </si>
  <si>
    <t>Austria</t>
  </si>
  <si>
    <t xml:space="preserve">PA=(General ADJ Laser ADJ Tochev) </t>
  </si>
  <si>
    <t>AC2T</t>
  </si>
  <si>
    <t>PA=(AC2T)</t>
  </si>
  <si>
    <t>Accurision</t>
  </si>
  <si>
    <t>PA=(Accurision)</t>
  </si>
  <si>
    <t>BaseN</t>
  </si>
  <si>
    <t xml:space="preserve">PA=(basen) </t>
  </si>
  <si>
    <t>BirdShades</t>
  </si>
  <si>
    <t>PA=(Birdshades)</t>
  </si>
  <si>
    <t>Blackshark.ai</t>
  </si>
  <si>
    <t>PA=(Blackshark ADJ AI)</t>
  </si>
  <si>
    <t>Enpulsion</t>
  </si>
  <si>
    <t xml:space="preserve">PA=(enpulsion) </t>
  </si>
  <si>
    <t>Lithoz</t>
  </si>
  <si>
    <t xml:space="preserve">PA=(lithoz) </t>
  </si>
  <si>
    <t>Dreamwaves</t>
  </si>
  <si>
    <t xml:space="preserve">PA=(Dreamwaves) </t>
  </si>
  <si>
    <t>Aurox</t>
  </si>
  <si>
    <t xml:space="preserve">PA=(Aurox) </t>
  </si>
  <si>
    <t>Sunnybag</t>
  </si>
  <si>
    <t xml:space="preserve">PA=(Sunnybag)  </t>
  </si>
  <si>
    <t>Garnet GmbH</t>
  </si>
  <si>
    <t xml:space="preserve">PA= (Garnet ADJ GMBH) </t>
  </si>
  <si>
    <t>Robotics Eyes</t>
  </si>
  <si>
    <t xml:space="preserve">PA=(Robotic ADJ Eyes) </t>
  </si>
  <si>
    <t>GCS GmbH</t>
  </si>
  <si>
    <t xml:space="preserve">PA=(GCS ADJ gmbh) </t>
  </si>
  <si>
    <t>Omicron Electronics</t>
  </si>
  <si>
    <t xml:space="preserve">PA=(Omicron ADJ Electronics) </t>
  </si>
  <si>
    <t>Shenzhen Hasee Computer</t>
  </si>
  <si>
    <t>ASIA</t>
  </si>
  <si>
    <t>China</t>
  </si>
  <si>
    <t xml:space="preserve">PA=(Shenzhen ADJ Hasee ADJ Computer) </t>
  </si>
  <si>
    <t>DJI Innovation</t>
  </si>
  <si>
    <t xml:space="preserve">PA=(DJI ADJ Innovation) </t>
  </si>
  <si>
    <t>Lide Space</t>
  </si>
  <si>
    <t xml:space="preserve">PA=(Lide ADJ Space) </t>
  </si>
  <si>
    <t>Beijing Sixiang Aishu Technology</t>
  </si>
  <si>
    <t xml:space="preserve">PA=(Beijing ADJ Sixiang ADJ Aishu ADJ Technology) </t>
  </si>
  <si>
    <t>Hi-Target Surveying Instrument Co</t>
  </si>
  <si>
    <t xml:space="preserve">PA=(Hi-Target ADJ Surveying ADJ Instrument) </t>
  </si>
  <si>
    <t>Shenzhen Cheng Fong Digital-Tech </t>
  </si>
  <si>
    <t xml:space="preserve">PA=(Shenzhen ADJ Cheng ADJ Fong ADJ Digital-Tech) </t>
  </si>
  <si>
    <t>SUZHOU FOIF</t>
  </si>
  <si>
    <t xml:space="preserve">PA=(Suzhou ADJ Foif) </t>
  </si>
  <si>
    <t>WUHAN GEOSUN NAVIGATION TECHNOLOGY CO.</t>
  </si>
  <si>
    <t xml:space="preserve">PA=(Wuham ADJ Geosun ADJ Navigation ADJ Technology ADJ Co.) </t>
  </si>
  <si>
    <t>Shenzhen Act Industrial Co.,</t>
  </si>
  <si>
    <t xml:space="preserve">PA=(Shenzhen ADJ Act ADJ Industrial) </t>
  </si>
  <si>
    <t>Chang Guang Satellite Technology</t>
  </si>
  <si>
    <t xml:space="preserve">PA=(Chang ADJ Guang ADJ Satellite ADJ Tech) </t>
  </si>
  <si>
    <t>China Aerospace Times Electronics</t>
  </si>
  <si>
    <t xml:space="preserve">PA=(China ADJ Aerospace ADJ Times ADJ Electronics) </t>
  </si>
  <si>
    <t>Hwa Create</t>
  </si>
  <si>
    <t xml:space="preserve">PA=(Hwa Create) </t>
  </si>
  <si>
    <t>Twenty First Century Aerospace Technology Co.</t>
  </si>
  <si>
    <t xml:space="preserve">PA=(Twenty ADJ First ADJ Century ADJ Aerospace ADJ Tech) </t>
  </si>
  <si>
    <t>China Great Wall Environment Improving Co</t>
  </si>
  <si>
    <t xml:space="preserve">PA=(China ADJ Great ADJ Wall ADJ Environment ADJ Improving) </t>
  </si>
  <si>
    <t>LEVEL Systems</t>
  </si>
  <si>
    <t>EST</t>
  </si>
  <si>
    <t>Czech Republic</t>
  </si>
  <si>
    <t xml:space="preserve">PA=(level ADJ systems) </t>
  </si>
  <si>
    <t>Insight Art</t>
  </si>
  <si>
    <t xml:space="preserve">PA=(Insightart) </t>
  </si>
  <si>
    <t>KOREC</t>
  </si>
  <si>
    <t xml:space="preserve">PA=(Korek) </t>
  </si>
  <si>
    <t>AZD Praha</t>
  </si>
  <si>
    <t xml:space="preserve">PA=(AZD ADJ Praha) </t>
  </si>
  <si>
    <t>HPC Research</t>
  </si>
  <si>
    <t xml:space="preserve">PA=(HPCResearch) </t>
  </si>
  <si>
    <t>Comtes FHT</t>
  </si>
  <si>
    <t xml:space="preserve">PA=(Comtes ADJ FHT) </t>
  </si>
  <si>
    <t>Vub A.S.</t>
  </si>
  <si>
    <t xml:space="preserve">PA=(VUB ADJ A.S.) </t>
  </si>
  <si>
    <t>Variel A.S.</t>
  </si>
  <si>
    <t xml:space="preserve">PA=(Variel ADJ A.S.) </t>
  </si>
  <si>
    <t>Vrgineers</t>
  </si>
  <si>
    <t xml:space="preserve">PA=(vrgineers) </t>
  </si>
  <si>
    <t>Apiosoft aps</t>
  </si>
  <si>
    <t>SCAN</t>
  </si>
  <si>
    <t>Denmark</t>
  </si>
  <si>
    <t xml:space="preserve">PA=(apiosoft) </t>
  </si>
  <si>
    <t>GomSpace</t>
  </si>
  <si>
    <t xml:space="preserve">PA=(gomspace) </t>
  </si>
  <si>
    <t>Quadsat</t>
  </si>
  <si>
    <t xml:space="preserve">PA=(Quadsat) </t>
  </si>
  <si>
    <t>Capra Robotics</t>
  </si>
  <si>
    <t xml:space="preserve">PA=(Capra ADJ Robotics) </t>
  </si>
  <si>
    <t>KappaZeta</t>
  </si>
  <si>
    <t>Estonia</t>
  </si>
  <si>
    <t xml:space="preserve">PA=(KappaZeta) </t>
  </si>
  <si>
    <t>PowerUp Energy Technologies</t>
  </si>
  <si>
    <t xml:space="preserve">PA=(powerup ADJ energy ADJ technologies) </t>
  </si>
  <si>
    <t>Testonica Lab Ou</t>
  </si>
  <si>
    <t xml:space="preserve">PA=(Testonica ADJ Lab ADJ OU) </t>
  </si>
  <si>
    <t>Advacam</t>
  </si>
  <si>
    <t>Finland</t>
  </si>
  <si>
    <t xml:space="preserve">PA=(advacam) </t>
  </si>
  <si>
    <t>Tracker OY</t>
  </si>
  <si>
    <t xml:space="preserve">PA=(tracker ADJ oy) </t>
  </si>
  <si>
    <t>Yepzon</t>
  </si>
  <si>
    <t xml:space="preserve">PA=(yepzon) </t>
  </si>
  <si>
    <t>Arbonaut</t>
  </si>
  <si>
    <t xml:space="preserve">PA=(Arbonaut) </t>
  </si>
  <si>
    <t>ElFys</t>
  </si>
  <si>
    <t xml:space="preserve">PA=(elfys) </t>
  </si>
  <si>
    <t>OptoFidelity</t>
  </si>
  <si>
    <t xml:space="preserve">PA=(optofidelity) </t>
  </si>
  <si>
    <t>Iceye</t>
  </si>
  <si>
    <t xml:space="preserve">PA=(iceye) </t>
  </si>
  <si>
    <t>Solar Foods</t>
  </si>
  <si>
    <t xml:space="preserve">PA=(Solar ADJ Foods) </t>
  </si>
  <si>
    <t>Verkotan Oy</t>
  </si>
  <si>
    <t xml:space="preserve">PA=(Verkotan ADJ Oy) </t>
  </si>
  <si>
    <t>Delta Cygni Labs</t>
  </si>
  <si>
    <t xml:space="preserve">PA=(Delta ADJ Cygni ADJ Labs) </t>
  </si>
  <si>
    <t>Fibrobotics</t>
  </si>
  <si>
    <t xml:space="preserve">PA=(Fibrobotics) </t>
  </si>
  <si>
    <t>Collective Crunch Oy</t>
  </si>
  <si>
    <t xml:space="preserve">PA=(Collectivecrunch) </t>
  </si>
  <si>
    <t>IndoorAtlas</t>
  </si>
  <si>
    <t xml:space="preserve">PA=(Indooratlas) </t>
  </si>
  <si>
    <t>Yieldsystems</t>
  </si>
  <si>
    <t xml:space="preserve">PA=(Yield ADJ systems) </t>
  </si>
  <si>
    <t>Navigil OY</t>
  </si>
  <si>
    <t xml:space="preserve">PA=(Navigil ADJ OY) </t>
  </si>
  <si>
    <t>Fenno Aurum OY</t>
  </si>
  <si>
    <t xml:space="preserve">PA=(Fenno ADJ Aurum ADJ OY) </t>
  </si>
  <si>
    <t>Patria Industries</t>
  </si>
  <si>
    <t xml:space="preserve">PA=(Ind ADJ Patria) </t>
  </si>
  <si>
    <t>Amersports</t>
  </si>
  <si>
    <t xml:space="preserve">PA=(Amer ADJ Sports) </t>
  </si>
  <si>
    <t>Fairspectrum Oy</t>
  </si>
  <si>
    <t xml:space="preserve">PA=(Fairspectrum ADJ Oy) </t>
  </si>
  <si>
    <t>Hellenic Technology of Robotics</t>
  </si>
  <si>
    <t>Greece</t>
  </si>
  <si>
    <t xml:space="preserve">PA=(Hellenic ADJ Technology ADJ of ADJ Robotics) </t>
  </si>
  <si>
    <t>Signal Ocean</t>
  </si>
  <si>
    <t xml:space="preserve">PA=(Signal ADJ Ocean ADJ Ltd) </t>
  </si>
  <si>
    <t>Astroscale</t>
  </si>
  <si>
    <t>Japan</t>
  </si>
  <si>
    <t xml:space="preserve">PA=(Astroscale ADJ Japan) </t>
  </si>
  <si>
    <t>Axelspace</t>
  </si>
  <si>
    <t xml:space="preserve">PA=(Axelspace) </t>
  </si>
  <si>
    <t>Umitron</t>
  </si>
  <si>
    <t xml:space="preserve">PA=(Umitron) </t>
  </si>
  <si>
    <t>Warpspace</t>
  </si>
  <si>
    <t xml:space="preserve">PA=(Warpspace) </t>
  </si>
  <si>
    <t>Pale Blue</t>
  </si>
  <si>
    <t xml:space="preserve">PA=(Pale ADJ Blue) </t>
  </si>
  <si>
    <t>Ispace Technologies</t>
  </si>
  <si>
    <t xml:space="preserve">PA=(Ispace ADJ Tech) </t>
  </si>
  <si>
    <t>Synspective</t>
  </si>
  <si>
    <t xml:space="preserve">PA=(Synspective) </t>
  </si>
  <si>
    <t>Infostellar</t>
  </si>
  <si>
    <t xml:space="preserve">PA=(Infostellar) </t>
  </si>
  <si>
    <t>Space Power Technologies</t>
  </si>
  <si>
    <t xml:space="preserve">PA=(Space ADJ Power ADJ Technologies) </t>
  </si>
  <si>
    <t>Informatix</t>
  </si>
  <si>
    <t xml:space="preserve">PA=(Informatix ADJ inc) </t>
  </si>
  <si>
    <t>Japan Construction Machinery And Construction Association</t>
  </si>
  <si>
    <t xml:space="preserve">PA=(Japan ADJ Construction ADJ Machinery) </t>
  </si>
  <si>
    <t>OI Electric CO</t>
  </si>
  <si>
    <t xml:space="preserve">PA=(OI ADJ Electric AND Co) </t>
  </si>
  <si>
    <t>Geosurf</t>
  </si>
  <si>
    <t xml:space="preserve">PA=(Geosurf) </t>
  </si>
  <si>
    <t>Nihon Dengyo Kosaku CoLtd</t>
  </si>
  <si>
    <t xml:space="preserve">PA=(Nihon ADJ Dengyo ADJ Kosaku ADJ Co ADJ Ltd) </t>
  </si>
  <si>
    <t>Cybertrust Japan</t>
  </si>
  <si>
    <t xml:space="preserve">PA=(Cybertrust ADJ Japan) </t>
  </si>
  <si>
    <t>Hazama Ando Corporation</t>
  </si>
  <si>
    <t xml:space="preserve">PA=(Hazama ADJ Ando ADJ Corporation) </t>
  </si>
  <si>
    <t>Kiyohara Optics</t>
  </si>
  <si>
    <t xml:space="preserve">PA=(Kiyohara ADJ Optics) </t>
  </si>
  <si>
    <t>Maruyama Manufacturing</t>
  </si>
  <si>
    <t xml:space="preserve">PA=(Maruyama ADJ Manufacturing) </t>
  </si>
  <si>
    <t>ALSOK</t>
  </si>
  <si>
    <t xml:space="preserve">PA=(Alsok) </t>
  </si>
  <si>
    <t>IHI Group</t>
  </si>
  <si>
    <t xml:space="preserve">PA=(IHI ADJ Group) </t>
  </si>
  <si>
    <t>Kokusai Kogyo</t>
  </si>
  <si>
    <t xml:space="preserve">PA=(Kokusai ADJ Kogyo) </t>
  </si>
  <si>
    <t>Obayashi Corporation</t>
  </si>
  <si>
    <t xml:space="preserve">PA=(Obayashi ADJ Corporation) </t>
  </si>
  <si>
    <t>Geomatrix</t>
  </si>
  <si>
    <t>Lithuania</t>
  </si>
  <si>
    <t xml:space="preserve">PA=(geomatrix) </t>
  </si>
  <si>
    <t>Lidaris</t>
  </si>
  <si>
    <t xml:space="preserve">PA=(lidaris) </t>
  </si>
  <si>
    <t xml:space="preserve">HERE Technologies </t>
  </si>
  <si>
    <t>Netherlands</t>
  </si>
  <si>
    <t xml:space="preserve">PA=(here ADJ technologies) </t>
  </si>
  <si>
    <t>NXP Semiconductors</t>
  </si>
  <si>
    <t xml:space="preserve">PA=(nxp ADJ semiconductors) </t>
  </si>
  <si>
    <t>Additive Industries</t>
  </si>
  <si>
    <t xml:space="preserve">PA=(additive ADJ industries) </t>
  </si>
  <si>
    <t>Dawn Aerospace</t>
  </si>
  <si>
    <t xml:space="preserve">PA=(Dawn ADJ Aerospace) </t>
  </si>
  <si>
    <t>ExxFire</t>
  </si>
  <si>
    <t xml:space="preserve">PA=(exxfire) </t>
  </si>
  <si>
    <t>Micronit Microfluidics BV</t>
  </si>
  <si>
    <t xml:space="preserve">PA=(Micronit ADJ Microfluidics) </t>
  </si>
  <si>
    <t>Qualinx</t>
  </si>
  <si>
    <t xml:space="preserve">PA=(qualinx) </t>
  </si>
  <si>
    <t>Skytree</t>
  </si>
  <si>
    <t xml:space="preserve">PA=(skytree) </t>
  </si>
  <si>
    <t>OPT/NET B.V.</t>
  </si>
  <si>
    <t xml:space="preserve">PA=(OPT/NET ADJ B.V.) </t>
  </si>
  <si>
    <t>Vandersat</t>
  </si>
  <si>
    <t xml:space="preserve">PA=(Vandersat) </t>
  </si>
  <si>
    <t>CropX</t>
  </si>
  <si>
    <t xml:space="preserve">PA=(CropX) </t>
  </si>
  <si>
    <t>Optics11</t>
  </si>
  <si>
    <t xml:space="preserve">PA=(Optics11) </t>
  </si>
  <si>
    <t>OwlTech</t>
  </si>
  <si>
    <t xml:space="preserve">PA=(Owltech) </t>
  </si>
  <si>
    <t>Demaco Holland</t>
  </si>
  <si>
    <t xml:space="preserve">PA=(Demaco ADJ Holland) </t>
  </si>
  <si>
    <t>Technolution BV</t>
  </si>
  <si>
    <t xml:space="preserve">PA=(Technolution ADJ BV) </t>
  </si>
  <si>
    <t>ATG Europe</t>
  </si>
  <si>
    <t xml:space="preserve">PA=(ATG ADJ Europe) </t>
  </si>
  <si>
    <t>Foundry Lab</t>
  </si>
  <si>
    <t>New Zealand</t>
  </si>
  <si>
    <t xml:space="preserve">PA=(Foundry ADJ Lab) </t>
  </si>
  <si>
    <t>Norsk Elektro Optikk AS</t>
  </si>
  <si>
    <t>Norway</t>
  </si>
  <si>
    <t xml:space="preserve">PA=(norsk ADJ elektro ADJ optikk ADJ AS) </t>
  </si>
  <si>
    <t>Maritime Robotics</t>
  </si>
  <si>
    <t xml:space="preserve">PA=(Maritime ADJ Robotics) </t>
  </si>
  <si>
    <t>Nofence</t>
  </si>
  <si>
    <t xml:space="preserve">PA=(nofence) </t>
  </si>
  <si>
    <t>Ceramic Powder Technology AS</t>
  </si>
  <si>
    <t xml:space="preserve">PA=(Ceramic ADJ Powder) </t>
  </si>
  <si>
    <t>Norsk Titanium</t>
  </si>
  <si>
    <t xml:space="preserve">PA=(Norsk ADJ Titanium) </t>
  </si>
  <si>
    <t>Seram Coatings</t>
  </si>
  <si>
    <t xml:space="preserve">PA=(seram ADJ coatings) </t>
  </si>
  <si>
    <t>Isosilicon AS</t>
  </si>
  <si>
    <t xml:space="preserve">PA=(Isosilicon ADJ As) </t>
  </si>
  <si>
    <t>Trollhetta AS</t>
  </si>
  <si>
    <t xml:space="preserve">PA=(Trollhetta ADJ As) </t>
  </si>
  <si>
    <t>DNV GL AS</t>
  </si>
  <si>
    <t xml:space="preserve">PA=(DNV ADJ GL ADJ As) </t>
  </si>
  <si>
    <t>Partner Plast</t>
  </si>
  <si>
    <t xml:space="preserve">PA=(Partner ADJ Plast) </t>
  </si>
  <si>
    <t>Real Research</t>
  </si>
  <si>
    <t>Poland</t>
  </si>
  <si>
    <t xml:space="preserve">PA=(Real ADJ Research) </t>
  </si>
  <si>
    <t>Zortrax</t>
  </si>
  <si>
    <t xml:space="preserve">PA=(Zortrax) </t>
  </si>
  <si>
    <t>Aerobits</t>
  </si>
  <si>
    <t xml:space="preserve">PA=(Aerobits) </t>
  </si>
  <si>
    <t>Advanced Graphene Product</t>
  </si>
  <si>
    <t xml:space="preserve">PA=(Advanced ADJ Graphene ADJ Products) </t>
  </si>
  <si>
    <t>Heller Consult</t>
  </si>
  <si>
    <t xml:space="preserve">PA=(Heller Consult) </t>
  </si>
  <si>
    <t>NeoSpace SP</t>
  </si>
  <si>
    <t xml:space="preserve">PA=(Neo ADJ space) </t>
  </si>
  <si>
    <t>Exmet</t>
  </si>
  <si>
    <t>Sweden</t>
  </si>
  <si>
    <t xml:space="preserve">PA=(exmet) </t>
  </si>
  <si>
    <t>Beijer Electronics</t>
  </si>
  <si>
    <t xml:space="preserve">PA=(beijer ADJ electronics) </t>
  </si>
  <si>
    <t xml:space="preserve">Crunchfish </t>
  </si>
  <si>
    <t xml:space="preserve">PA=(crunchfish) </t>
  </si>
  <si>
    <t xml:space="preserve">Fourth State Systems </t>
  </si>
  <si>
    <t xml:space="preserve">PA=(Fourth ADJ State ADJ Systems) </t>
  </si>
  <si>
    <t>Sally R</t>
  </si>
  <si>
    <t xml:space="preserve">PA=(sally ADJ r) </t>
  </si>
  <si>
    <t>APR Technologies</t>
  </si>
  <si>
    <t xml:space="preserve">PA=(APR ADJ Technologies) </t>
  </si>
  <si>
    <t>Forsway</t>
  </si>
  <si>
    <t xml:space="preserve">PA=(Forsway) </t>
  </si>
  <si>
    <t>Swegan</t>
  </si>
  <si>
    <t xml:space="preserve">PA=(swegan) </t>
  </si>
  <si>
    <t>Unibap</t>
  </si>
  <si>
    <t xml:space="preserve">PA=(Unibap) </t>
  </si>
  <si>
    <t>Deep Forestry AB</t>
  </si>
  <si>
    <t xml:space="preserve">PA=(Deep ADJ Forestry ADJ Ab) </t>
  </si>
  <si>
    <t>Hexagon Ab</t>
  </si>
  <si>
    <t xml:space="preserve">PA=(Hexagon ADJ Ab) </t>
  </si>
  <si>
    <t>IR nova</t>
  </si>
  <si>
    <t xml:space="preserve">PA=(Irnova) </t>
  </si>
  <si>
    <t>Everdrone AB</t>
  </si>
  <si>
    <t xml:space="preserve">PA=(Everdrone ADJ Ab) </t>
  </si>
  <si>
    <t>LumeoTech</t>
  </si>
  <si>
    <t xml:space="preserve">PA=(Lumeo ADJ Tech) </t>
  </si>
  <si>
    <t>PercyRoc</t>
  </si>
  <si>
    <t xml:space="preserve">PA=(Percyroc) </t>
  </si>
  <si>
    <t>Algoryx Simulation</t>
  </si>
  <si>
    <t xml:space="preserve">PA=(Algoryx ADJ Simulation) </t>
  </si>
  <si>
    <t>Procada</t>
  </si>
  <si>
    <t xml:space="preserve">PA=(Procada) </t>
  </si>
  <si>
    <t>Centropy</t>
  </si>
  <si>
    <t xml:space="preserve">PA=(Centropy) </t>
  </si>
  <si>
    <t>Xspectre</t>
  </si>
  <si>
    <t xml:space="preserve">PA=(Xspectre) </t>
  </si>
  <si>
    <t>Ecaps</t>
  </si>
  <si>
    <t xml:space="preserve">PA=(Ecaps) </t>
  </si>
  <si>
    <t>Spacemetric</t>
  </si>
  <si>
    <t xml:space="preserve">PA=(Spacemetric) </t>
  </si>
  <si>
    <t>ReQuTech</t>
  </si>
  <si>
    <t xml:space="preserve">PA=(ReQuTech) </t>
  </si>
  <si>
    <t>Nanospace AB</t>
  </si>
  <si>
    <t xml:space="preserve">PA=(Nanospace ADJ Ab) </t>
  </si>
  <si>
    <t>Featherway Robotics</t>
  </si>
  <si>
    <t xml:space="preserve">PA=(Featherway ADJ Robotics) </t>
  </si>
  <si>
    <t>Halter</t>
  </si>
  <si>
    <t xml:space="preserve">PA=(Halter) </t>
  </si>
  <si>
    <t>Catapult Sports</t>
  </si>
  <si>
    <t>nopat</t>
  </si>
  <si>
    <t xml:space="preserve">PA=(Catapult Sports) </t>
  </si>
  <si>
    <t>NO PAT</t>
  </si>
  <si>
    <t>Exodus Space System</t>
  </si>
  <si>
    <t>PA=(Exodus Space)</t>
  </si>
  <si>
    <t>Ams AG</t>
  </si>
  <si>
    <t xml:space="preserve">PA=(AMS ADJ Ag) </t>
  </si>
  <si>
    <t>Gago</t>
  </si>
  <si>
    <t xml:space="preserve">PA=(Gago) </t>
  </si>
  <si>
    <t>Baidu</t>
  </si>
  <si>
    <t xml:space="preserve">PA=(Baidu) </t>
  </si>
  <si>
    <t>China Telecom</t>
  </si>
  <si>
    <t xml:space="preserve">PA=(China ADJ Telecom) </t>
  </si>
  <si>
    <t>China Electronics Technology Group</t>
  </si>
  <si>
    <t xml:space="preserve">PA=(China ADJ Electronics ADJ Technology ADJ Group) </t>
  </si>
  <si>
    <t>Zhongke Sky Tower</t>
  </si>
  <si>
    <t xml:space="preserve">PA=(Zhongke) </t>
  </si>
  <si>
    <t>NavInfo</t>
  </si>
  <si>
    <t xml:space="preserve">PA=(Navinfo) </t>
  </si>
  <si>
    <t>Nordic Semiconductor</t>
  </si>
  <si>
    <t xml:space="preserve">PA=(Nordic ADJ Semiconductor) </t>
  </si>
  <si>
    <t>Jolla</t>
  </si>
  <si>
    <t xml:space="preserve">PA=(Jolla) </t>
  </si>
  <si>
    <t>Vaisala</t>
  </si>
  <si>
    <t xml:space="preserve">PA=(Vaisala) </t>
  </si>
  <si>
    <t>mi Beez</t>
  </si>
  <si>
    <t xml:space="preserve">PA=(mi ADJ beez) </t>
  </si>
  <si>
    <t>ALE</t>
  </si>
  <si>
    <t xml:space="preserve">PA=(ALE) </t>
  </si>
  <si>
    <t>Satake Corporation</t>
  </si>
  <si>
    <t xml:space="preserve">PA=(Satake ADJ Corporation) </t>
  </si>
  <si>
    <t>Furuno Electric</t>
  </si>
  <si>
    <t xml:space="preserve">PA=(Furuno ADJ Electric) </t>
  </si>
  <si>
    <t>Zenrin</t>
  </si>
  <si>
    <t xml:space="preserve">PA=(Zenrin) </t>
  </si>
  <si>
    <t>Canon Inc</t>
  </si>
  <si>
    <t xml:space="preserve">PA=(Canon ADJ inc) </t>
  </si>
  <si>
    <t>Nihon Dempa Kogyo</t>
  </si>
  <si>
    <t xml:space="preserve">PA=(Nihon ADJ Dempa ADJ Kogyo) </t>
  </si>
  <si>
    <t>Iseki</t>
  </si>
  <si>
    <t xml:space="preserve">PA=(Iseki) </t>
  </si>
  <si>
    <t>Komatsu</t>
  </si>
  <si>
    <t xml:space="preserve">PA=(Komatsu) </t>
  </si>
  <si>
    <t>Jena</t>
  </si>
  <si>
    <t xml:space="preserve">PA=(Jena) </t>
  </si>
  <si>
    <t>Sumitomo Electric</t>
  </si>
  <si>
    <t xml:space="preserve">PA=(Sumitomo ADJ Electric) </t>
  </si>
  <si>
    <t>Topcon</t>
  </si>
  <si>
    <t xml:space="preserve">PA=(Topcon) </t>
  </si>
  <si>
    <t>Pioneer</t>
  </si>
  <si>
    <t xml:space="preserve">PA=(Pioneer) </t>
  </si>
  <si>
    <t>Yazaki Corporation</t>
  </si>
  <si>
    <t xml:space="preserve">PA=(Yazaki ADJ Corporation) </t>
  </si>
  <si>
    <t>TDK</t>
  </si>
  <si>
    <t xml:space="preserve">PA=(TDK) </t>
  </si>
  <si>
    <t>NEC Corporation</t>
  </si>
  <si>
    <t xml:space="preserve">PA=(NEC ADJ Corporation) </t>
  </si>
  <si>
    <t>Yanmar</t>
  </si>
  <si>
    <t xml:space="preserve">PA=(Yanmar) </t>
  </si>
  <si>
    <t>Denso Corporation</t>
  </si>
  <si>
    <t xml:space="preserve">PA=(Denso ADJ Corporation) </t>
  </si>
  <si>
    <t>Murata</t>
  </si>
  <si>
    <t xml:space="preserve">PA=(Murata) </t>
  </si>
  <si>
    <t>Kyocera</t>
  </si>
  <si>
    <t xml:space="preserve">PA=(Kyocera) </t>
  </si>
  <si>
    <t>Hitachi</t>
  </si>
  <si>
    <t xml:space="preserve">PA=(Hitachi) </t>
  </si>
  <si>
    <t>Ledigma</t>
  </si>
  <si>
    <t xml:space="preserve">PA=(ledigma) </t>
  </si>
  <si>
    <t>S&amp;t</t>
  </si>
  <si>
    <t xml:space="preserve">PA=(S ADJ T) </t>
  </si>
  <si>
    <t>TomTom</t>
  </si>
  <si>
    <t xml:space="preserve">PA=(Tom ADJ Tom) </t>
  </si>
  <si>
    <t>Airborne</t>
  </si>
  <si>
    <t xml:space="preserve">PA=(Airborne) </t>
  </si>
  <si>
    <t>Nokia Corporation</t>
  </si>
  <si>
    <t xml:space="preserve">PA=(Nokia) </t>
  </si>
  <si>
    <t>Nordic Unmanned</t>
  </si>
  <si>
    <t xml:space="preserve">PA=(Nordic Unmanned) </t>
  </si>
  <si>
    <t>Science and Technologies</t>
  </si>
  <si>
    <t xml:space="preserve">PA=(Science and Technologies) </t>
  </si>
  <si>
    <t>Ideas</t>
  </si>
  <si>
    <t xml:space="preserve">PA=(Ideas) </t>
  </si>
  <si>
    <t>Kongsberg Gruppen</t>
  </si>
  <si>
    <t xml:space="preserve">PA=(Kongsberg ) </t>
  </si>
  <si>
    <t>Q-Free Sverige</t>
  </si>
  <si>
    <t xml:space="preserve">PA=(Q ADJ Free) </t>
  </si>
  <si>
    <t>Autoliv</t>
  </si>
  <si>
    <t xml:space="preserve">PA=(Autoliv) </t>
  </si>
  <si>
    <t>Saab</t>
  </si>
  <si>
    <t xml:space="preserve">PA=(Saab) </t>
  </si>
  <si>
    <t>Volvo Cars</t>
  </si>
  <si>
    <t xml:space="preserve">PA=(Volvo Cars) </t>
  </si>
  <si>
    <t>ANALISI GEOGRAFICA</t>
  </si>
  <si>
    <t>TIPO DI AZIENDA</t>
  </si>
  <si>
    <t>#Aziende</t>
  </si>
  <si>
    <t>%Totale</t>
  </si>
  <si>
    <t>%Area</t>
  </si>
  <si>
    <t>#Escluse</t>
  </si>
  <si>
    <t>%suPaese</t>
  </si>
  <si>
    <t>big_cor</t>
  </si>
  <si>
    <t>diff_cor_biz</t>
  </si>
  <si>
    <t>#Nopat</t>
  </si>
  <si>
    <t>#Aziende in esame</t>
  </si>
  <si>
    <t xml:space="preserve"> %Totale</t>
  </si>
  <si>
    <t>US</t>
  </si>
  <si>
    <t>DS</t>
  </si>
  <si>
    <t>US&amp;DS</t>
  </si>
  <si>
    <t>%US</t>
  </si>
  <si>
    <t>%DS</t>
  </si>
  <si>
    <t>%US&amp;DS</t>
  </si>
  <si>
    <t>Età media</t>
  </si>
  <si>
    <t>#Brevetti</t>
  </si>
  <si>
    <t>%BrevArea</t>
  </si>
  <si>
    <t>Paesi Scandinavi</t>
  </si>
  <si>
    <t>Norvegia</t>
  </si>
  <si>
    <t xml:space="preserve">Finlandia </t>
  </si>
  <si>
    <t>Danimarca</t>
  </si>
  <si>
    <t>Paesi Frugali</t>
  </si>
  <si>
    <t>Paesi Bassi</t>
  </si>
  <si>
    <t>Lituania</t>
  </si>
  <si>
    <t>Paesi Est Europa</t>
  </si>
  <si>
    <t>Polonia</t>
  </si>
  <si>
    <t>Rep. Ceca</t>
  </si>
  <si>
    <t>Grecia</t>
  </si>
  <si>
    <t>Paesi Asiatici</t>
  </si>
  <si>
    <t>Cina</t>
  </si>
  <si>
    <t>Giappone</t>
  </si>
  <si>
    <t>Paesi Oceanici</t>
  </si>
  <si>
    <t>Nuova Zelanda</t>
  </si>
  <si>
    <t xml:space="preserve">TOTALE </t>
  </si>
  <si>
    <t>-</t>
  </si>
  <si>
    <t>Classificazione</t>
  </si>
  <si>
    <t>Classificazione Aziende</t>
  </si>
  <si>
    <t>UpStream</t>
  </si>
  <si>
    <t>Aziende in esame</t>
  </si>
  <si>
    <t>DownStream</t>
  </si>
  <si>
    <t>Totale big_corp</t>
  </si>
  <si>
    <t>Totale disamb</t>
  </si>
  <si>
    <t>Totale different_cor_biz</t>
  </si>
  <si>
    <t>Totale No_Pat</t>
  </si>
  <si>
    <t>Totale</t>
  </si>
  <si>
    <t>ETA' AZIENDE</t>
  </si>
  <si>
    <t>Colonna1</t>
  </si>
  <si>
    <t>YoF Aziende</t>
  </si>
  <si>
    <t>%Tot</t>
  </si>
  <si>
    <t>Media</t>
  </si>
  <si>
    <t>&lt;1940</t>
  </si>
  <si>
    <t>Dev Std</t>
  </si>
  <si>
    <t>1940-1964</t>
  </si>
  <si>
    <t>Max</t>
  </si>
  <si>
    <t>1965-1989</t>
  </si>
  <si>
    <t>Min</t>
  </si>
  <si>
    <t>1990-2000</t>
  </si>
  <si>
    <t>1o Quartile</t>
  </si>
  <si>
    <t>2o Quartile</t>
  </si>
  <si>
    <t>3o Quartile</t>
  </si>
  <si>
    <t>Brevetti per azienda</t>
  </si>
  <si>
    <t>Aziende</t>
  </si>
  <si>
    <t>1-5</t>
  </si>
  <si>
    <t>6-25</t>
  </si>
  <si>
    <t>26-50</t>
  </si>
  <si>
    <t>51-100</t>
  </si>
  <si>
    <t>100-300</t>
  </si>
  <si>
    <t>&gt;300</t>
  </si>
  <si>
    <t>Valore</t>
  </si>
  <si>
    <t>ANAGRAFICA</t>
  </si>
  <si>
    <t>BREVETTI</t>
  </si>
  <si>
    <t>Avg_Brev_Az</t>
  </si>
  <si>
    <t>Svezia</t>
  </si>
  <si>
    <t>IDENTIFICAZIONE EXCLUDED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</si>
</sst>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theme="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double">
        <color theme="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4" tint="0.3999755851924192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9">
    <xf numFmtId="0" fontId="0" fillId="0" borderId="0" xfId="0"/>
    <xf numFmtId="0" fontId="0" fillId="0" borderId="1" xfId="0" applyBorder="1"/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1" fillId="0" borderId="5" xfId="0" applyFont="1" applyBorder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/>
    </xf>
    <xf numFmtId="0" fontId="0" fillId="3" borderId="2" xfId="0" applyFill="1" applyBorder="1"/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0" xfId="0" applyFill="1"/>
    <xf numFmtId="0" fontId="0" fillId="3" borderId="5" xfId="0" applyFill="1" applyBorder="1"/>
    <xf numFmtId="0" fontId="1" fillId="3" borderId="5" xfId="0" applyFont="1" applyFill="1" applyBorder="1"/>
    <xf numFmtId="0" fontId="0" fillId="3" borderId="9" xfId="0" applyFill="1" applyBorder="1"/>
    <xf numFmtId="0" fontId="0" fillId="0" borderId="6" xfId="0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5" borderId="12" xfId="0" applyFill="1" applyBorder="1"/>
    <xf numFmtId="0" fontId="0" fillId="8" borderId="12" xfId="0" applyFill="1" applyBorder="1"/>
    <xf numFmtId="0" fontId="0" fillId="7" borderId="12" xfId="0" applyFill="1" applyBorder="1"/>
    <xf numFmtId="0" fontId="0" fillId="9" borderId="12" xfId="0" applyFill="1" applyBorder="1"/>
    <xf numFmtId="0" fontId="2" fillId="4" borderId="0" xfId="0" applyFont="1" applyFill="1"/>
    <xf numFmtId="0" fontId="2" fillId="0" borderId="11" xfId="0" applyFont="1" applyBorder="1"/>
    <xf numFmtId="0" fontId="2" fillId="6" borderId="11" xfId="0" applyFont="1" applyFill="1" applyBorder="1"/>
    <xf numFmtId="0" fontId="2" fillId="3" borderId="11" xfId="0" applyFont="1" applyFill="1" applyBorder="1"/>
    <xf numFmtId="0" fontId="2" fillId="5" borderId="13" xfId="0" applyFont="1" applyFill="1" applyBorder="1"/>
    <xf numFmtId="0" fontId="2" fillId="5" borderId="11" xfId="0" applyFont="1" applyFill="1" applyBorder="1"/>
    <xf numFmtId="0" fontId="2" fillId="8" borderId="13" xfId="0" applyFont="1" applyFill="1" applyBorder="1"/>
    <xf numFmtId="0" fontId="2" fillId="8" borderId="11" xfId="0" applyFont="1" applyFill="1" applyBorder="1"/>
    <xf numFmtId="0" fontId="2" fillId="7" borderId="13" xfId="0" applyFont="1" applyFill="1" applyBorder="1"/>
    <xf numFmtId="0" fontId="2" fillId="7" borderId="11" xfId="0" applyFont="1" applyFill="1" applyBorder="1"/>
    <xf numFmtId="0" fontId="2" fillId="9" borderId="13" xfId="0" applyFont="1" applyFill="1" applyBorder="1"/>
    <xf numFmtId="0" fontId="2" fillId="9" borderId="11" xfId="0" applyFont="1" applyFill="1" applyBorder="1"/>
    <xf numFmtId="0" fontId="2" fillId="4" borderId="11" xfId="0" applyFont="1" applyFill="1" applyBorder="1"/>
    <xf numFmtId="9" fontId="2" fillId="4" borderId="0" xfId="1" applyFont="1" applyFill="1" applyAlignment="1">
      <alignment horizontal="center"/>
    </xf>
    <xf numFmtId="0" fontId="0" fillId="6" borderId="14" xfId="0" applyFill="1" applyBorder="1"/>
    <xf numFmtId="0" fontId="0" fillId="3" borderId="14" xfId="0" applyFill="1" applyBorder="1"/>
    <xf numFmtId="0" fontId="0" fillId="5" borderId="15" xfId="0" applyFill="1" applyBorder="1"/>
    <xf numFmtId="0" fontId="0" fillId="5" borderId="14" xfId="0" applyFill="1" applyBorder="1"/>
    <xf numFmtId="0" fontId="0" fillId="8" borderId="15" xfId="0" applyFill="1" applyBorder="1"/>
    <xf numFmtId="0" fontId="0" fillId="8" borderId="14" xfId="0" applyFill="1" applyBorder="1"/>
    <xf numFmtId="0" fontId="0" fillId="7" borderId="15" xfId="0" applyFill="1" applyBorder="1"/>
    <xf numFmtId="0" fontId="0" fillId="7" borderId="14" xfId="0" applyFill="1" applyBorder="1"/>
    <xf numFmtId="0" fontId="0" fillId="9" borderId="15" xfId="0" applyFill="1" applyBorder="1"/>
    <xf numFmtId="0" fontId="0" fillId="9" borderId="14" xfId="0" applyFill="1" applyBorder="1"/>
    <xf numFmtId="0" fontId="2" fillId="4" borderId="14" xfId="0" applyFont="1" applyFill="1" applyBorder="1"/>
    <xf numFmtId="0" fontId="0" fillId="0" borderId="14" xfId="0" applyBorder="1"/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9" borderId="0" xfId="0" applyFill="1" applyAlignment="1">
      <alignment horizontal="center"/>
    </xf>
    <xf numFmtId="164" fontId="0" fillId="6" borderId="0" xfId="1" applyNumberFormat="1" applyFont="1" applyFill="1" applyAlignment="1">
      <alignment horizontal="center"/>
    </xf>
    <xf numFmtId="164" fontId="0" fillId="3" borderId="0" xfId="1" applyNumberFormat="1" applyFont="1" applyFill="1" applyAlignment="1">
      <alignment horizontal="center"/>
    </xf>
    <xf numFmtId="164" fontId="0" fillId="5" borderId="0" xfId="1" applyNumberFormat="1" applyFont="1" applyFill="1" applyAlignment="1">
      <alignment horizontal="center"/>
    </xf>
    <xf numFmtId="164" fontId="0" fillId="8" borderId="0" xfId="1" applyNumberFormat="1" applyFont="1" applyFill="1" applyAlignment="1">
      <alignment horizontal="center"/>
    </xf>
    <xf numFmtId="164" fontId="0" fillId="7" borderId="0" xfId="1" applyNumberFormat="1" applyFont="1" applyFill="1" applyAlignment="1">
      <alignment horizontal="center"/>
    </xf>
    <xf numFmtId="164" fontId="0" fillId="9" borderId="0" xfId="1" applyNumberFormat="1" applyFont="1" applyFill="1" applyAlignment="1">
      <alignment horizontal="center"/>
    </xf>
    <xf numFmtId="164" fontId="0" fillId="0" borderId="0" xfId="1" applyNumberFormat="1" applyFont="1" applyAlignment="1">
      <alignment horizontal="center"/>
    </xf>
    <xf numFmtId="0" fontId="2" fillId="4" borderId="0" xfId="0" applyFont="1" applyFill="1" applyAlignment="1">
      <alignment horizontal="center"/>
    </xf>
    <xf numFmtId="165" fontId="0" fillId="6" borderId="0" xfId="0" applyNumberFormat="1" applyFill="1" applyAlignment="1">
      <alignment horizontal="center"/>
    </xf>
    <xf numFmtId="165" fontId="0" fillId="5" borderId="0" xfId="0" applyNumberForma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8" borderId="0" xfId="0" applyNumberFormat="1" applyFill="1" applyAlignment="1">
      <alignment horizontal="center"/>
    </xf>
    <xf numFmtId="165" fontId="0" fillId="7" borderId="0" xfId="0" applyNumberFormat="1" applyFill="1" applyAlignment="1">
      <alignment horizontal="center"/>
    </xf>
    <xf numFmtId="165" fontId="0" fillId="9" borderId="0" xfId="0" applyNumberFormat="1" applyFill="1" applyAlignment="1">
      <alignment horizontal="center"/>
    </xf>
    <xf numFmtId="165" fontId="2" fillId="4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6" borderId="10" xfId="0" applyFill="1" applyBorder="1" applyAlignment="1">
      <alignment horizontal="center"/>
    </xf>
    <xf numFmtId="164" fontId="0" fillId="6" borderId="0" xfId="1" applyNumberFormat="1" applyFont="1" applyFill="1" applyBorder="1" applyAlignment="1">
      <alignment horizontal="center"/>
    </xf>
    <xf numFmtId="164" fontId="0" fillId="6" borderId="11" xfId="1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4" fontId="0" fillId="3" borderId="0" xfId="1" applyNumberFormat="1" applyFont="1" applyFill="1" applyBorder="1" applyAlignment="1">
      <alignment horizontal="center"/>
    </xf>
    <xf numFmtId="164" fontId="0" fillId="3" borderId="11" xfId="1" applyNumberFormat="1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164" fontId="0" fillId="5" borderId="0" xfId="1" applyNumberFormat="1" applyFont="1" applyFill="1" applyBorder="1" applyAlignment="1">
      <alignment horizontal="center"/>
    </xf>
    <xf numFmtId="164" fontId="0" fillId="5" borderId="11" xfId="1" applyNumberFormat="1" applyFont="1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164" fontId="0" fillId="8" borderId="0" xfId="1" applyNumberFormat="1" applyFont="1" applyFill="1" applyBorder="1" applyAlignment="1">
      <alignment horizontal="center"/>
    </xf>
    <xf numFmtId="164" fontId="0" fillId="8" borderId="11" xfId="1" applyNumberFormat="1" applyFon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164" fontId="0" fillId="7" borderId="0" xfId="1" applyNumberFormat="1" applyFont="1" applyFill="1" applyBorder="1" applyAlignment="1">
      <alignment horizontal="center"/>
    </xf>
    <xf numFmtId="164" fontId="0" fillId="7" borderId="11" xfId="1" applyNumberFormat="1" applyFont="1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164" fontId="0" fillId="9" borderId="0" xfId="1" applyNumberFormat="1" applyFont="1" applyFill="1" applyBorder="1" applyAlignment="1">
      <alignment horizontal="center"/>
    </xf>
    <xf numFmtId="164" fontId="0" fillId="9" borderId="11" xfId="1" applyNumberFormat="1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9" fontId="2" fillId="4" borderId="0" xfId="1" applyFont="1" applyFill="1" applyBorder="1" applyAlignment="1">
      <alignment horizontal="center"/>
    </xf>
    <xf numFmtId="9" fontId="2" fillId="4" borderId="11" xfId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64" fontId="0" fillId="0" borderId="11" xfId="1" applyNumberFormat="1" applyFont="1" applyBorder="1" applyAlignment="1">
      <alignment horizontal="center"/>
    </xf>
    <xf numFmtId="1" fontId="2" fillId="4" borderId="10" xfId="1" applyNumberFormat="1" applyFont="1" applyFill="1" applyBorder="1" applyAlignment="1">
      <alignment horizontal="center"/>
    </xf>
    <xf numFmtId="164" fontId="2" fillId="4" borderId="0" xfId="1" applyNumberFormat="1" applyFont="1" applyFill="1" applyBorder="1" applyAlignment="1">
      <alignment horizontal="center"/>
    </xf>
    <xf numFmtId="0" fontId="2" fillId="4" borderId="0" xfId="1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9" borderId="16" xfId="0" applyFont="1" applyFill="1" applyBorder="1" applyAlignment="1">
      <alignment horizontal="center"/>
    </xf>
    <xf numFmtId="164" fontId="2" fillId="9" borderId="12" xfId="1" applyNumberFormat="1" applyFont="1" applyFill="1" applyBorder="1" applyAlignment="1">
      <alignment horizontal="center"/>
    </xf>
    <xf numFmtId="164" fontId="2" fillId="9" borderId="13" xfId="1" applyNumberFormat="1" applyFont="1" applyFill="1" applyBorder="1" applyAlignment="1">
      <alignment horizontal="center"/>
    </xf>
    <xf numFmtId="0" fontId="2" fillId="9" borderId="12" xfId="0" applyFont="1" applyFill="1" applyBorder="1" applyAlignment="1">
      <alignment horizontal="center"/>
    </xf>
    <xf numFmtId="165" fontId="2" fillId="9" borderId="12" xfId="0" applyNumberFormat="1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/>
    </xf>
    <xf numFmtId="164" fontId="2" fillId="7" borderId="12" xfId="1" applyNumberFormat="1" applyFont="1" applyFill="1" applyBorder="1" applyAlignment="1">
      <alignment horizontal="center"/>
    </xf>
    <xf numFmtId="164" fontId="2" fillId="7" borderId="13" xfId="1" applyNumberFormat="1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165" fontId="2" fillId="7" borderId="12" xfId="0" applyNumberFormat="1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/>
    </xf>
    <xf numFmtId="164" fontId="2" fillId="8" borderId="12" xfId="1" applyNumberFormat="1" applyFont="1" applyFill="1" applyBorder="1" applyAlignment="1">
      <alignment horizontal="center"/>
    </xf>
    <xf numFmtId="164" fontId="2" fillId="8" borderId="13" xfId="1" applyNumberFormat="1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165" fontId="2" fillId="8" borderId="12" xfId="0" applyNumberFormat="1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164" fontId="2" fillId="5" borderId="12" xfId="1" applyNumberFormat="1" applyFont="1" applyFill="1" applyBorder="1" applyAlignment="1">
      <alignment horizontal="center"/>
    </xf>
    <xf numFmtId="164" fontId="2" fillId="5" borderId="13" xfId="1" applyNumberFormat="1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165" fontId="2" fillId="5" borderId="12" xfId="0" applyNumberFormat="1" applyFont="1" applyFill="1" applyBorder="1" applyAlignment="1">
      <alignment horizontal="center"/>
    </xf>
    <xf numFmtId="0" fontId="0" fillId="0" borderId="0" xfId="0" quotePrefix="1"/>
    <xf numFmtId="164" fontId="0" fillId="0" borderId="0" xfId="1" applyNumberFormat="1" applyFont="1"/>
    <xf numFmtId="0" fontId="0" fillId="13" borderId="17" xfId="0" applyFill="1" applyBorder="1"/>
    <xf numFmtId="0" fontId="0" fillId="0" borderId="17" xfId="0" applyBorder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0" fontId="2" fillId="4" borderId="10" xfId="1" applyNumberFormat="1" applyFont="1" applyFill="1" applyBorder="1" applyAlignment="1">
      <alignment horizontal="center"/>
    </xf>
    <xf numFmtId="164" fontId="2" fillId="4" borderId="11" xfId="1" applyNumberFormat="1" applyFont="1" applyFill="1" applyBorder="1" applyAlignment="1">
      <alignment horizontal="center"/>
    </xf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0" fontId="2" fillId="3" borderId="0" xfId="0" applyFont="1" applyFill="1"/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2" fillId="9" borderId="13" xfId="0" applyFont="1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2" fillId="4" borderId="11" xfId="1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10" borderId="11" xfId="0" applyFont="1" applyFill="1" applyBorder="1" applyAlignment="1">
      <alignment horizontal="center"/>
    </xf>
    <xf numFmtId="165" fontId="0" fillId="6" borderId="11" xfId="0" applyNumberFormat="1" applyFill="1" applyBorder="1" applyAlignment="1">
      <alignment horizontal="center"/>
    </xf>
    <xf numFmtId="165" fontId="2" fillId="5" borderId="13" xfId="0" applyNumberFormat="1" applyFont="1" applyFill="1" applyBorder="1" applyAlignment="1">
      <alignment horizontal="center"/>
    </xf>
    <xf numFmtId="165" fontId="0" fillId="5" borderId="11" xfId="0" applyNumberFormat="1" applyFill="1" applyBorder="1" applyAlignment="1">
      <alignment horizontal="center"/>
    </xf>
    <xf numFmtId="165" fontId="0" fillId="3" borderId="11" xfId="0" applyNumberFormat="1" applyFill="1" applyBorder="1" applyAlignment="1">
      <alignment horizontal="center"/>
    </xf>
    <xf numFmtId="165" fontId="2" fillId="8" borderId="13" xfId="0" applyNumberFormat="1" applyFont="1" applyFill="1" applyBorder="1" applyAlignment="1">
      <alignment horizontal="center"/>
    </xf>
    <xf numFmtId="165" fontId="0" fillId="8" borderId="11" xfId="0" applyNumberFormat="1" applyFill="1" applyBorder="1" applyAlignment="1">
      <alignment horizontal="center"/>
    </xf>
    <xf numFmtId="165" fontId="2" fillId="7" borderId="13" xfId="0" applyNumberFormat="1" applyFont="1" applyFill="1" applyBorder="1" applyAlignment="1">
      <alignment horizontal="center"/>
    </xf>
    <xf numFmtId="165" fontId="0" fillId="7" borderId="11" xfId="0" applyNumberFormat="1" applyFill="1" applyBorder="1" applyAlignment="1">
      <alignment horizontal="center"/>
    </xf>
    <xf numFmtId="165" fontId="2" fillId="9" borderId="13" xfId="0" applyNumberFormat="1" applyFont="1" applyFill="1" applyBorder="1" applyAlignment="1">
      <alignment horizontal="center"/>
    </xf>
    <xf numFmtId="165" fontId="0" fillId="9" borderId="11" xfId="0" applyNumberFormat="1" applyFill="1" applyBorder="1" applyAlignment="1">
      <alignment horizontal="center"/>
    </xf>
    <xf numFmtId="165" fontId="2" fillId="4" borderId="11" xfId="0" applyNumberFormat="1" applyFont="1" applyFill="1" applyBorder="1" applyAlignment="1">
      <alignment horizontal="center"/>
    </xf>
    <xf numFmtId="0" fontId="2" fillId="12" borderId="0" xfId="0" applyFont="1" applyFill="1" applyBorder="1" applyAlignment="1">
      <alignment horizontal="center"/>
    </xf>
    <xf numFmtId="0" fontId="2" fillId="12" borderId="11" xfId="0" applyFont="1" applyFill="1" applyBorder="1" applyAlignment="1">
      <alignment horizontal="center"/>
    </xf>
    <xf numFmtId="0" fontId="2" fillId="14" borderId="0" xfId="0" applyFont="1" applyFill="1"/>
    <xf numFmtId="0" fontId="2" fillId="11" borderId="0" xfId="0" applyFont="1" applyFill="1" applyBorder="1" applyAlignment="1">
      <alignment horizontal="center"/>
    </xf>
    <xf numFmtId="164" fontId="2" fillId="11" borderId="0" xfId="1" applyNumberFormat="1" applyFont="1" applyFill="1" applyBorder="1" applyAlignment="1">
      <alignment horizontal="center"/>
    </xf>
    <xf numFmtId="164" fontId="2" fillId="11" borderId="11" xfId="1" applyNumberFormat="1" applyFont="1" applyFill="1" applyBorder="1" applyAlignment="1">
      <alignment horizontal="center"/>
    </xf>
    <xf numFmtId="165" fontId="2" fillId="14" borderId="0" xfId="0" applyNumberFormat="1" applyFont="1" applyFill="1" applyBorder="1" applyAlignment="1">
      <alignment horizontal="center"/>
    </xf>
    <xf numFmtId="164" fontId="2" fillId="10" borderId="0" xfId="1" applyNumberFormat="1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4" fontId="2" fillId="2" borderId="11" xfId="1" applyNumberFormat="1" applyFont="1" applyFill="1" applyBorder="1" applyAlignment="1">
      <alignment horizontal="center"/>
    </xf>
    <xf numFmtId="164" fontId="2" fillId="12" borderId="0" xfId="1" applyNumberFormat="1" applyFont="1" applyFill="1" applyBorder="1" applyAlignment="1">
      <alignment horizontal="center"/>
    </xf>
    <xf numFmtId="0" fontId="2" fillId="0" borderId="0" xfId="0" applyFont="1" applyBorder="1"/>
    <xf numFmtId="0" fontId="2" fillId="6" borderId="13" xfId="0" applyFont="1" applyFill="1" applyBorder="1"/>
    <xf numFmtId="0" fontId="0" fillId="6" borderId="15" xfId="0" applyFill="1" applyBorder="1"/>
    <xf numFmtId="0" fontId="2" fillId="6" borderId="16" xfId="0" applyFont="1" applyFill="1" applyBorder="1" applyAlignment="1">
      <alignment horizontal="center"/>
    </xf>
    <xf numFmtId="164" fontId="2" fillId="6" borderId="12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165" fontId="2" fillId="6" borderId="12" xfId="0" applyNumberFormat="1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165" fontId="2" fillId="6" borderId="13" xfId="0" applyNumberFormat="1" applyFont="1" applyFill="1" applyBorder="1" applyAlignment="1">
      <alignment horizontal="center"/>
    </xf>
    <xf numFmtId="0" fontId="0" fillId="6" borderId="12" xfId="0" applyFill="1" applyBorder="1"/>
    <xf numFmtId="0" fontId="0" fillId="13" borderId="18" xfId="0" applyFont="1" applyFill="1" applyBorder="1" applyAlignment="1">
      <alignment horizontal="center"/>
    </xf>
    <xf numFmtId="164" fontId="0" fillId="13" borderId="18" xfId="1" applyNumberFormat="1" applyFont="1" applyFill="1" applyBorder="1" applyAlignment="1">
      <alignment horizontal="center"/>
    </xf>
    <xf numFmtId="0" fontId="0" fillId="0" borderId="18" xfId="0" applyFont="1" applyBorder="1" applyAlignment="1">
      <alignment horizontal="center"/>
    </xf>
    <xf numFmtId="164" fontId="0" fillId="0" borderId="18" xfId="1" applyNumberFormat="1" applyFont="1" applyBorder="1" applyAlignment="1">
      <alignment horizontal="center"/>
    </xf>
    <xf numFmtId="2" fontId="0" fillId="13" borderId="18" xfId="0" applyNumberFormat="1" applyFont="1" applyFill="1" applyBorder="1" applyAlignment="1">
      <alignment horizontal="center"/>
    </xf>
    <xf numFmtId="0" fontId="5" fillId="15" borderId="0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9" fontId="2" fillId="0" borderId="19" xfId="0" applyNumberFormat="1" applyFont="1" applyBorder="1" applyAlignment="1">
      <alignment horizontal="center"/>
    </xf>
    <xf numFmtId="2" fontId="0" fillId="0" borderId="18" xfId="0" applyNumberFormat="1" applyFont="1" applyBorder="1" applyAlignment="1">
      <alignment horizontal="center"/>
    </xf>
    <xf numFmtId="0" fontId="2" fillId="11" borderId="0" xfId="0" applyFont="1" applyFill="1" applyAlignment="1">
      <alignment horizontal="center"/>
    </xf>
    <xf numFmtId="0" fontId="2" fillId="11" borderId="1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10" borderId="0" xfId="0" applyFont="1" applyFill="1" applyAlignment="1">
      <alignment horizontal="center"/>
    </xf>
    <xf numFmtId="0" fontId="2" fillId="10" borderId="11" xfId="0" applyFont="1" applyFill="1" applyBorder="1" applyAlignment="1">
      <alignment horizontal="center"/>
    </xf>
    <xf numFmtId="0" fontId="2" fillId="12" borderId="10" xfId="0" applyFont="1" applyFill="1" applyBorder="1" applyAlignment="1">
      <alignment horizontal="center"/>
    </xf>
    <xf numFmtId="0" fontId="2" fillId="12" borderId="0" xfId="0" applyFont="1" applyFill="1" applyBorder="1" applyAlignment="1">
      <alignment horizontal="center"/>
    </xf>
    <xf numFmtId="0" fontId="2" fillId="12" borderId="11" xfId="0" applyFont="1" applyFill="1" applyBorder="1" applyAlignment="1">
      <alignment horizontal="center"/>
    </xf>
    <xf numFmtId="0" fontId="0" fillId="13" borderId="20" xfId="0" applyFont="1" applyFill="1" applyBorder="1"/>
    <xf numFmtId="0" fontId="0" fillId="0" borderId="20" xfId="0" applyFont="1" applyBorder="1"/>
    <xf numFmtId="164" fontId="0" fillId="13" borderId="21" xfId="1" applyNumberFormat="1" applyFont="1" applyFill="1" applyBorder="1" applyAlignment="1">
      <alignment horizontal="center"/>
    </xf>
    <xf numFmtId="164" fontId="0" fillId="13" borderId="18" xfId="1" applyNumberFormat="1" applyFont="1" applyFill="1" applyBorder="1" applyAlignment="1">
      <alignment horizontal="center" vertical="center"/>
    </xf>
    <xf numFmtId="164" fontId="0" fillId="13" borderId="0" xfId="1" applyNumberFormat="1" applyFont="1" applyFill="1" applyBorder="1" applyAlignment="1">
      <alignment horizontal="center" vertical="center"/>
    </xf>
    <xf numFmtId="164" fontId="0" fillId="13" borderId="22" xfId="1" applyNumberFormat="1" applyFont="1" applyFill="1" applyBorder="1" applyAlignment="1">
      <alignment horizontal="center" vertical="center"/>
    </xf>
    <xf numFmtId="164" fontId="0" fillId="0" borderId="18" xfId="1" applyNumberFormat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0" fontId="0" fillId="13" borderId="24" xfId="0" applyFont="1" applyFill="1" applyBorder="1" applyAlignment="1">
      <alignment horizontal="center" vertical="center"/>
    </xf>
    <xf numFmtId="0" fontId="0" fillId="13" borderId="14" xfId="0" applyFont="1" applyFill="1" applyBorder="1" applyAlignment="1">
      <alignment horizontal="center" vertical="center"/>
    </xf>
    <xf numFmtId="0" fontId="0" fillId="13" borderId="25" xfId="0" applyFont="1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13" borderId="20" xfId="0" applyFont="1" applyFill="1" applyBorder="1" applyAlignment="1">
      <alignment horizontal="left"/>
    </xf>
    <xf numFmtId="0" fontId="0" fillId="13" borderId="23" xfId="0" applyFont="1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5" fillId="15" borderId="21" xfId="0" applyFont="1" applyFill="1" applyBorder="1" applyAlignment="1">
      <alignment horizontal="center"/>
    </xf>
    <xf numFmtId="0" fontId="5" fillId="15" borderId="18" xfId="0" applyFont="1" applyFill="1" applyBorder="1" applyAlignment="1">
      <alignment horizontal="center" vertical="center"/>
    </xf>
    <xf numFmtId="0" fontId="5" fillId="15" borderId="20" xfId="0" applyFont="1" applyFill="1" applyBorder="1" applyAlignment="1">
      <alignment horizontal="center"/>
    </xf>
    <xf numFmtId="0" fontId="0" fillId="0" borderId="20" xfId="0" applyFont="1" applyBorder="1" applyAlignment="1">
      <alignment horizontal="left"/>
    </xf>
    <xf numFmtId="164" fontId="0" fillId="0" borderId="21" xfId="1" applyNumberFormat="1" applyFont="1" applyBorder="1" applyAlignment="1">
      <alignment horizontal="center"/>
    </xf>
  </cellXfs>
  <cellStyles count="2">
    <cellStyle name="Normale" xfId="0" builtinId="0"/>
    <cellStyle name="Percentuale" xfId="1" builtinId="5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4" formatCode="0.0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auto="1"/>
          <bgColor indexed="65"/>
        </patternFill>
      </fill>
    </dxf>
    <dxf>
      <border>
        <top style="thin">
          <color indexed="64"/>
        </top>
      </border>
    </dxf>
    <dxf>
      <alignment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#Aziende per Paese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'Analisi per Zona-Paese'!$B$5:$B$27</c15:sqref>
                  </c15:fullRef>
                </c:ext>
              </c:extLst>
              <c:f>('Analisi per Zona-Paese'!$B$5:$B$8,'Analisi per Zona-Paese'!$B$11:$B$14,'Analisi per Zona-Paese'!$B$17:$B$19,'Analisi per Zona-Paese'!$B$22:$B$23,'Analisi per Zona-Paese'!$B$26:$B$27)</c:f>
              <c:strCache>
                <c:ptCount val="15"/>
                <c:pt idx="0">
                  <c:v>Svezia</c:v>
                </c:pt>
                <c:pt idx="1">
                  <c:v>Norvegia</c:v>
                </c:pt>
                <c:pt idx="2">
                  <c:v>Finlandia </c:v>
                </c:pt>
                <c:pt idx="3">
                  <c:v>Danimarca</c:v>
                </c:pt>
                <c:pt idx="4">
                  <c:v>Paesi Bassi</c:v>
                </c:pt>
                <c:pt idx="5">
                  <c:v>Austria</c:v>
                </c:pt>
                <c:pt idx="6">
                  <c:v>Lituania</c:v>
                </c:pt>
                <c:pt idx="7">
                  <c:v>Estonia</c:v>
                </c:pt>
                <c:pt idx="8">
                  <c:v>Polonia</c:v>
                </c:pt>
                <c:pt idx="9">
                  <c:v>Rep. Ceca</c:v>
                </c:pt>
                <c:pt idx="10">
                  <c:v>Grecia</c:v>
                </c:pt>
                <c:pt idx="11">
                  <c:v>Cina</c:v>
                </c:pt>
                <c:pt idx="12">
                  <c:v>Giappone</c:v>
                </c:pt>
                <c:pt idx="13">
                  <c:v>Australia</c:v>
                </c:pt>
                <c:pt idx="14">
                  <c:v>Nuova Zelanda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'Analisi per Zona-Paese'!$M$5:$M$27</c15:sqref>
                  </c15:fullRef>
                </c:ext>
              </c:extLst>
              <c:f>('Analisi per Zona-Paese'!$M$5:$M$8,'Analisi per Zona-Paese'!$M$11:$M$14,'Analisi per Zona-Paese'!$M$17:$M$19,'Analisi per Zona-Paese'!$M$22:$M$23,'Analisi per Zona-Paese'!$M$26:$M$27)</c:f>
              <c:numCache>
                <c:formatCode>General</c:formatCode>
                <c:ptCount val="15"/>
                <c:pt idx="0">
                  <c:v>24</c:v>
                </c:pt>
                <c:pt idx="1">
                  <c:v>10</c:v>
                </c:pt>
                <c:pt idx="2">
                  <c:v>19</c:v>
                </c:pt>
                <c:pt idx="3">
                  <c:v>4</c:v>
                </c:pt>
                <c:pt idx="4">
                  <c:v>16</c:v>
                </c:pt>
                <c:pt idx="5">
                  <c:v>15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9</c:v>
                </c:pt>
                <c:pt idx="10">
                  <c:v>2</c:v>
                </c:pt>
                <c:pt idx="11">
                  <c:v>14</c:v>
                </c:pt>
                <c:pt idx="12">
                  <c:v>22</c:v>
                </c:pt>
                <c:pt idx="13">
                  <c:v>12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29F-4573-B0E4-33C64E714BC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41654040"/>
        <c:axId val="3408013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'Analisi per Zona-Paese'!$M$4:$M$28</c15:sqref>
                        </c15:fullRef>
                        <c15:formulaRef>
                          <c15:sqref>('Analisi per Zona-Paese'!$M$4:$M$7,'Analisi per Zona-Paese'!$M$10:$M$13,'Analisi per Zona-Paese'!$M$16:$M$18,'Analisi per Zona-Paese'!$M$21:$M$22,'Analisi per Zona-Paese'!$M$25:$M$26)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57</c:v>
                      </c:pt>
                      <c:pt idx="1">
                        <c:v>24</c:v>
                      </c:pt>
                      <c:pt idx="2">
                        <c:v>10</c:v>
                      </c:pt>
                      <c:pt idx="3">
                        <c:v>19</c:v>
                      </c:pt>
                      <c:pt idx="4">
                        <c:v>36</c:v>
                      </c:pt>
                      <c:pt idx="5">
                        <c:v>16</c:v>
                      </c:pt>
                      <c:pt idx="6">
                        <c:v>15</c:v>
                      </c:pt>
                      <c:pt idx="7">
                        <c:v>2</c:v>
                      </c:pt>
                      <c:pt idx="8">
                        <c:v>17</c:v>
                      </c:pt>
                      <c:pt idx="9">
                        <c:v>6</c:v>
                      </c:pt>
                      <c:pt idx="10">
                        <c:v>9</c:v>
                      </c:pt>
                      <c:pt idx="11">
                        <c:v>36</c:v>
                      </c:pt>
                      <c:pt idx="12">
                        <c:v>14</c:v>
                      </c:pt>
                      <c:pt idx="13">
                        <c:v>13</c:v>
                      </c:pt>
                      <c:pt idx="14">
                        <c:v>12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307-423E-B79E-9115BFCE45F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Zona-Paese'!$D$5:$D$27</c15:sqref>
                        </c15:fullRef>
                        <c15:formulaRef>
                          <c15:sqref>('Analisi per Zona-Paese'!$D$5:$D$8,'Analisi per Zona-Paese'!$D$11:$D$14,'Analisi per Zona-Paese'!$D$17:$D$19,'Analisi per Zona-Paese'!$D$22:$D$23,'Analisi per Zona-Paese'!$D$26:$D$27)</c15:sqref>
                        </c15:formulaRef>
                      </c:ext>
                    </c:extLst>
                    <c:numCache>
                      <c:formatCode>0.0%</c:formatCode>
                      <c:ptCount val="15"/>
                      <c:pt idx="0">
                        <c:v>0.13592233009708737</c:v>
                      </c:pt>
                      <c:pt idx="1">
                        <c:v>6.7961165048543687E-2</c:v>
                      </c:pt>
                      <c:pt idx="2">
                        <c:v>0.10679611650485436</c:v>
                      </c:pt>
                      <c:pt idx="3">
                        <c:v>1.9417475728155338E-2</c:v>
                      </c:pt>
                      <c:pt idx="4">
                        <c:v>9.7087378640776698E-2</c:v>
                      </c:pt>
                      <c:pt idx="5">
                        <c:v>7.7669902912621352E-2</c:v>
                      </c:pt>
                      <c:pt idx="6">
                        <c:v>1.4563106796116505E-2</c:v>
                      </c:pt>
                      <c:pt idx="7">
                        <c:v>1.4563106796116505E-2</c:v>
                      </c:pt>
                      <c:pt idx="8">
                        <c:v>2.9126213592233011E-2</c:v>
                      </c:pt>
                      <c:pt idx="9">
                        <c:v>4.3689320388349516E-2</c:v>
                      </c:pt>
                      <c:pt idx="10">
                        <c:v>1.4563106796116505E-2</c:v>
                      </c:pt>
                      <c:pt idx="11">
                        <c:v>9.7087378640776698E-2</c:v>
                      </c:pt>
                      <c:pt idx="12">
                        <c:v>0.20388349514563106</c:v>
                      </c:pt>
                      <c:pt idx="13">
                        <c:v>7.281553398058252E-2</c:v>
                      </c:pt>
                      <c:pt idx="14">
                        <c:v>4.8543689320388345E-3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D29F-4573-B0E4-33C64E714BC4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Zona-Paese'!$E$5:$E$27</c15:sqref>
                        </c15:fullRef>
                        <c15:formulaRef>
                          <c15:sqref>('Analisi per Zona-Paese'!$E$5:$E$8,'Analisi per Zona-Paese'!$E$11:$E$14,'Analisi per Zona-Paese'!$E$17:$E$19,'Analisi per Zona-Paese'!$E$22:$E$23,'Analisi per Zona-Paese'!$E$26:$E$27)</c15:sqref>
                        </c15:formulaRef>
                      </c:ext>
                    </c:extLst>
                    <c:numCache>
                      <c:formatCode>0.0%</c:formatCode>
                      <c:ptCount val="15"/>
                      <c:pt idx="0">
                        <c:v>0.41176470588235292</c:v>
                      </c:pt>
                      <c:pt idx="1">
                        <c:v>0.20588235294117646</c:v>
                      </c:pt>
                      <c:pt idx="2">
                        <c:v>0.3235294117647059</c:v>
                      </c:pt>
                      <c:pt idx="3">
                        <c:v>5.8823529411764705E-2</c:v>
                      </c:pt>
                      <c:pt idx="4">
                        <c:v>0.47619047619047616</c:v>
                      </c:pt>
                      <c:pt idx="5">
                        <c:v>0.38095238095238093</c:v>
                      </c:pt>
                      <c:pt idx="6">
                        <c:v>7.1428571428571425E-2</c:v>
                      </c:pt>
                      <c:pt idx="7">
                        <c:v>7.1428571428571425E-2</c:v>
                      </c:pt>
                      <c:pt idx="8">
                        <c:v>0.33333333333333331</c:v>
                      </c:pt>
                      <c:pt idx="9">
                        <c:v>0.5</c:v>
                      </c:pt>
                      <c:pt idx="10">
                        <c:v>0.16666666666666666</c:v>
                      </c:pt>
                      <c:pt idx="11">
                        <c:v>0.32258064516129031</c:v>
                      </c:pt>
                      <c:pt idx="12">
                        <c:v>0.67741935483870963</c:v>
                      </c:pt>
                      <c:pt idx="13">
                        <c:v>0.9375</c:v>
                      </c:pt>
                      <c:pt idx="14">
                        <c:v>6.25E-2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29F-4573-B0E4-33C64E714BC4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Zona-Paese'!$G$5:$G$27</c15:sqref>
                        </c15:fullRef>
                        <c15:formulaRef>
                          <c15:sqref>('Analisi per Zona-Paese'!$G$5:$G$8,'Analisi per Zona-Paese'!$G$11:$G$14,'Analisi per Zona-Paese'!$G$17:$G$19,'Analisi per Zona-Paese'!$G$22:$G$23,'Analisi per Zona-Paese'!$G$26:$G$27)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4</c:v>
                      </c:pt>
                      <c:pt idx="1">
                        <c:v>4</c:v>
                      </c:pt>
                      <c:pt idx="2">
                        <c:v>3</c:v>
                      </c:pt>
                      <c:pt idx="3">
                        <c:v>0</c:v>
                      </c:pt>
                      <c:pt idx="4">
                        <c:v>4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1</c:v>
                      </c:pt>
                      <c:pt idx="11">
                        <c:v>6</c:v>
                      </c:pt>
                      <c:pt idx="12">
                        <c:v>20</c:v>
                      </c:pt>
                      <c:pt idx="13">
                        <c:v>3</c:v>
                      </c:pt>
                      <c:pt idx="1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29F-4573-B0E4-33C64E714BC4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Zona-Paese'!$H$5:$H$27</c15:sqref>
                        </c15:fullRef>
                        <c15:formulaRef>
                          <c15:sqref>('Analisi per Zona-Paese'!$H$5:$H$8,'Analisi per Zona-Paese'!$H$11:$H$14,'Analisi per Zona-Paese'!$H$17:$H$19,'Analisi per Zona-Paese'!$H$22:$H$23,'Analisi per Zona-Paese'!$H$26:$H$27)</c15:sqref>
                        </c15:formulaRef>
                      </c:ext>
                    </c:extLst>
                    <c:numCache>
                      <c:formatCode>0.0%</c:formatCode>
                      <c:ptCount val="15"/>
                      <c:pt idx="0">
                        <c:v>0.14285714285714285</c:v>
                      </c:pt>
                      <c:pt idx="1">
                        <c:v>0.2857142857142857</c:v>
                      </c:pt>
                      <c:pt idx="2">
                        <c:v>0.13636363636363635</c:v>
                      </c:pt>
                      <c:pt idx="3">
                        <c:v>0</c:v>
                      </c:pt>
                      <c:pt idx="4">
                        <c:v>0.2</c:v>
                      </c:pt>
                      <c:pt idx="5">
                        <c:v>6.25E-2</c:v>
                      </c:pt>
                      <c:pt idx="6">
                        <c:v>0.33333333333333331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0.33333333333333331</c:v>
                      </c:pt>
                      <c:pt idx="11">
                        <c:v>0.3</c:v>
                      </c:pt>
                      <c:pt idx="12">
                        <c:v>0.47619047619047616</c:v>
                      </c:pt>
                      <c:pt idx="13">
                        <c:v>0.2</c:v>
                      </c:pt>
                      <c:pt idx="1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29F-4573-B0E4-33C64E714BC4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Zona-Paese'!$I$5:$I$27</c15:sqref>
                        </c15:fullRef>
                        <c15:formulaRef>
                          <c15:sqref>('Analisi per Zona-Paese'!$I$5:$I$8,'Analisi per Zona-Paese'!$I$11:$I$14,'Analisi per Zona-Paese'!$I$17:$I$19,'Analisi per Zona-Paese'!$I$22:$I$23,'Analisi per Zona-Paese'!$I$26:$I$27)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</c:v>
                      </c:pt>
                      <c:pt idx="1">
                        <c:v>0</c:v>
                      </c:pt>
                      <c:pt idx="2">
                        <c:v>2</c:v>
                      </c:pt>
                      <c:pt idx="3">
                        <c:v>0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3</c:v>
                      </c:pt>
                      <c:pt idx="12">
                        <c:v>13</c:v>
                      </c:pt>
                      <c:pt idx="13">
                        <c:v>0</c:v>
                      </c:pt>
                      <c:pt idx="1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29F-4573-B0E4-33C64E714BC4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Zona-Paese'!$J$5:$J$27</c15:sqref>
                        </c15:fullRef>
                        <c15:formulaRef>
                          <c15:sqref>('Analisi per Zona-Paese'!$J$5:$J$8,'Analisi per Zona-Paese'!$J$11:$J$14,'Analisi per Zona-Paese'!$J$17:$J$19,'Analisi per Zona-Paese'!$J$22:$J$23,'Analisi per Zona-Paese'!$J$26:$J$27)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0</c:v>
                      </c:pt>
                      <c:pt idx="1">
                        <c:v>2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2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3</c:v>
                      </c:pt>
                      <c:pt idx="12">
                        <c:v>3</c:v>
                      </c:pt>
                      <c:pt idx="13">
                        <c:v>1</c:v>
                      </c:pt>
                      <c:pt idx="1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29F-4573-B0E4-33C64E714BC4}"/>
                  </c:ext>
                </c:extLst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Zona-Paese'!$K$5:$K$27</c15:sqref>
                        </c15:fullRef>
                        <c15:formulaRef>
                          <c15:sqref>('Analisi per Zona-Paese'!$K$5:$K$8,'Analisi per Zona-Paese'!$K$11:$K$14,'Analisi per Zona-Paese'!$K$17:$K$19,'Analisi per Zona-Paese'!$K$22:$K$23,'Analisi per Zona-Paese'!$K$26:$K$27)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1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4</c:v>
                      </c:pt>
                      <c:pt idx="13">
                        <c:v>0</c:v>
                      </c:pt>
                      <c:pt idx="1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29F-4573-B0E4-33C64E714BC4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Zona-Paese'!$B$5:$B$27</c15:sqref>
                        </c15:fullRef>
                        <c15:formulaRef>
                          <c15:sqref>('Analisi per Zona-Paese'!$B$5:$B$8,'Analisi per Zona-Paese'!$B$11:$B$14,'Analisi per Zona-Paese'!$B$17:$B$19,'Analisi per Zona-Paese'!$B$22:$B$23,'Analisi per Zona-Paese'!$B$26:$B$27)</c15:sqref>
                        </c15:formulaRef>
                      </c:ext>
                    </c:extLst>
                    <c:strCache>
                      <c:ptCount val="15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4">
                        <c:v>Paesi Bassi</c:v>
                      </c:pt>
                      <c:pt idx="5">
                        <c:v>Austria</c:v>
                      </c:pt>
                      <c:pt idx="6">
                        <c:v>Lituania</c:v>
                      </c:pt>
                      <c:pt idx="7">
                        <c:v>Estonia</c:v>
                      </c:pt>
                      <c:pt idx="8">
                        <c:v>Polonia</c:v>
                      </c:pt>
                      <c:pt idx="9">
                        <c:v>Rep. Ceca</c:v>
                      </c:pt>
                      <c:pt idx="10">
                        <c:v>Grecia</c:v>
                      </c:pt>
                      <c:pt idx="11">
                        <c:v>Cina</c:v>
                      </c:pt>
                      <c:pt idx="12">
                        <c:v>Giappone</c:v>
                      </c:pt>
                      <c:pt idx="13">
                        <c:v>Australia</c:v>
                      </c:pt>
                      <c:pt idx="14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Zona-Paese'!$L$5:$L$27</c15:sqref>
                        </c15:fullRef>
                        <c15:formulaRef>
                          <c15:sqref>('Analisi per Zona-Paese'!$L$5:$L$8,'Analisi per Zona-Paese'!$L$11:$L$14,'Analisi per Zona-Paese'!$L$17:$L$19,'Analisi per Zona-Paese'!$L$22:$L$23,'Analisi per Zona-Paese'!$L$26:$L$27)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1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1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2</c:v>
                      </c:pt>
                      <c:pt idx="1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29F-4573-B0E4-33C64E714BC4}"/>
                  </c:ext>
                </c:extLst>
              </c15:ser>
            </c15:filteredBarSeries>
          </c:ext>
        </c:extLst>
      </c:barChart>
      <c:catAx>
        <c:axId val="34165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Paesi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0801344"/>
        <c:crosses val="autoZero"/>
        <c:auto val="1"/>
        <c:lblAlgn val="ctr"/>
        <c:lblOffset val="100"/>
        <c:noMultiLvlLbl val="0"/>
      </c:catAx>
      <c:valAx>
        <c:axId val="34080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#Aziende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1654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#Aziende per AreaGeografica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'Analisi per Zona-Paese'!$A$4:$A$28</c15:sqref>
                  </c15:fullRef>
                </c:ext>
              </c:extLst>
              <c:f>('Analisi per Zona-Paese'!$A$4,'Analisi per Zona-Paese'!$A$10,'Analisi per Zona-Paese'!$A$16,'Analisi per Zona-Paese'!$A$21,'Analisi per Zona-Paese'!$A$25)</c:f>
              <c:strCache>
                <c:ptCount val="5"/>
                <c:pt idx="0">
                  <c:v>Paesi Scandinavi</c:v>
                </c:pt>
                <c:pt idx="1">
                  <c:v>Paesi Frugali</c:v>
                </c:pt>
                <c:pt idx="2">
                  <c:v>Paesi Est Europa</c:v>
                </c:pt>
                <c:pt idx="3">
                  <c:v>Paesi Asiatici</c:v>
                </c:pt>
                <c:pt idx="4">
                  <c:v>Paesi Oceanici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'Analisi per Zona-Paese'!$M$4:$M$28</c15:sqref>
                  </c15:fullRef>
                </c:ext>
              </c:extLst>
              <c:f>('Analisi per Zona-Paese'!$M$4,'Analisi per Zona-Paese'!$M$10,'Analisi per Zona-Paese'!$M$16,'Analisi per Zona-Paese'!$M$21,'Analisi per Zona-Paese'!$M$25)</c:f>
              <c:numCache>
                <c:formatCode>General</c:formatCode>
                <c:ptCount val="5"/>
                <c:pt idx="0">
                  <c:v>57</c:v>
                </c:pt>
                <c:pt idx="1">
                  <c:v>36</c:v>
                </c:pt>
                <c:pt idx="2">
                  <c:v>17</c:v>
                </c:pt>
                <c:pt idx="3">
                  <c:v>36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50-4118-93C0-53A16390961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40796648"/>
        <c:axId val="341818144"/>
      </c:barChart>
      <c:catAx>
        <c:axId val="340796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1818144"/>
        <c:crosses val="autoZero"/>
        <c:auto val="1"/>
        <c:lblAlgn val="ctr"/>
        <c:lblOffset val="100"/>
        <c:noMultiLvlLbl val="0"/>
      </c:catAx>
      <c:valAx>
        <c:axId val="34181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0796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Brevetti</a:t>
            </a:r>
            <a:r>
              <a:rPr lang="it-IT" baseline="0"/>
              <a:t> per azienda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Tabelle!$B$12</c:f>
              <c:strCache>
                <c:ptCount val="1"/>
                <c:pt idx="0">
                  <c:v>Aziende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Tabelle!$A$13:$A$18</c:f>
              <c:strCache>
                <c:ptCount val="6"/>
                <c:pt idx="0">
                  <c:v>1-5</c:v>
                </c:pt>
                <c:pt idx="1">
                  <c:v>6-25</c:v>
                </c:pt>
                <c:pt idx="2">
                  <c:v>26-50</c:v>
                </c:pt>
                <c:pt idx="3">
                  <c:v>51-100</c:v>
                </c:pt>
                <c:pt idx="4">
                  <c:v>100-300</c:v>
                </c:pt>
                <c:pt idx="5">
                  <c:v>&gt;300</c:v>
                </c:pt>
              </c:strCache>
            </c:strRef>
          </c:cat>
          <c:val>
            <c:numRef>
              <c:f>Tabelle!$B$13:$B$18</c:f>
              <c:numCache>
                <c:formatCode>General</c:formatCode>
                <c:ptCount val="6"/>
                <c:pt idx="0">
                  <c:v>34</c:v>
                </c:pt>
                <c:pt idx="1">
                  <c:v>67</c:v>
                </c:pt>
                <c:pt idx="2">
                  <c:v>20</c:v>
                </c:pt>
                <c:pt idx="3">
                  <c:v>19</c:v>
                </c:pt>
                <c:pt idx="4">
                  <c:v>13</c:v>
                </c:pt>
                <c:pt idx="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96-4ABE-BE97-1ABA05AD448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1361368"/>
        <c:axId val="351361752"/>
      </c:lineChart>
      <c:catAx>
        <c:axId val="351361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#Brevetti registrati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361752"/>
        <c:crosses val="autoZero"/>
        <c:auto val="1"/>
        <c:lblAlgn val="ctr"/>
        <c:lblOffset val="100"/>
        <c:noMultiLvlLbl val="0"/>
      </c:catAx>
      <c:valAx>
        <c:axId val="351361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#Aziende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361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91B-440A-B802-5B638C2DBA1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91B-440A-B802-5B638C2DBA1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91B-440A-B802-5B638C2DBA1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91B-440A-B802-5B638C2DBA1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291B-440A-B802-5B638C2DBA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Tabelle!$A$3:$A$7</c:f>
              <c:strCache>
                <c:ptCount val="5"/>
                <c:pt idx="0">
                  <c:v>Aziende in esame</c:v>
                </c:pt>
                <c:pt idx="1">
                  <c:v>Totale big_corp</c:v>
                </c:pt>
                <c:pt idx="2">
                  <c:v>Totale disamb</c:v>
                </c:pt>
                <c:pt idx="3">
                  <c:v>Totale different_cor_biz</c:v>
                </c:pt>
                <c:pt idx="4">
                  <c:v>Totale No_Pat</c:v>
                </c:pt>
              </c:strCache>
            </c:strRef>
          </c:cat>
          <c:val>
            <c:numRef>
              <c:f>Tabelle!$B$3:$B$7</c:f>
              <c:numCache>
                <c:formatCode>General</c:formatCode>
                <c:ptCount val="5"/>
                <c:pt idx="0">
                  <c:v>159</c:v>
                </c:pt>
                <c:pt idx="1">
                  <c:v>22</c:v>
                </c:pt>
                <c:pt idx="2">
                  <c:v>12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Tabelle!$B$2</c15:sqref>
                        </c15:formulaRef>
                      </c:ext>
                    </c:extLst>
                    <c:strCache>
                      <c:ptCount val="1"/>
                      <c:pt idx="0">
                        <c:v>#Aziende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A-291B-440A-B802-5B638C2DBA1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C-291B-440A-B802-5B638C2DBA1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E-291B-440A-B802-5B638C2DBA1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0-291B-440A-B802-5B638C2DBA1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2-291B-440A-B802-5B638C2DBA1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14-291B-440A-B802-5B638C2DBA1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Tabelle!$A$3:$A$7</c15:sqref>
                        </c15:formulaRef>
                      </c:ext>
                    </c:extLst>
                    <c:strCache>
                      <c:ptCount val="5"/>
                      <c:pt idx="0">
                        <c:v>Aziende in esame</c:v>
                      </c:pt>
                      <c:pt idx="1">
                        <c:v>Totale big_corp</c:v>
                      </c:pt>
                      <c:pt idx="2">
                        <c:v>Totale disamb</c:v>
                      </c:pt>
                      <c:pt idx="3">
                        <c:v>Totale different_cor_biz</c:v>
                      </c:pt>
                      <c:pt idx="4">
                        <c:v>Totale No_Pat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Tabelle!$C$3:$C$7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0.77184466019417475</c:v>
                      </c:pt>
                      <c:pt idx="1">
                        <c:v>0.10679611650485436</c:v>
                      </c:pt>
                      <c:pt idx="2">
                        <c:v>5.8252427184466021E-2</c:v>
                      </c:pt>
                      <c:pt idx="3">
                        <c:v>3.3980582524271843E-2</c:v>
                      </c:pt>
                      <c:pt idx="4">
                        <c:v>2.9126213592233011E-2</c:v>
                      </c:pt>
                    </c:numCache>
                  </c:numRef>
                </c:val>
                <c:extLst>
                  <c:ext uri="{02D57815-91ED-43cb-92C2-25804820EDAC}">
                    <c15:filteredSeriesTitle>
                      <c15:tx>
                        <c:strRef>
                          <c:extLst>
                            <c:ext uri="{02D57815-91ED-43cb-92C2-25804820EDAC}">
                              <c15:formulaRef>
                                <c15:sqref>Tabelle!$C$2</c15:sqref>
                              </c15:formulaRef>
                            </c:ext>
                          </c:extLst>
                          <c:strCache>
                            <c:ptCount val="1"/>
                            <c:pt idx="0">
                              <c:v>%Totale</c:v>
                            </c:pt>
                          </c:strCache>
                        </c:strRef>
                      </c15:tx>
                    </c15:filteredSeriesTitle>
                  </c:ext>
                  <c:ext xmlns:c16="http://schemas.microsoft.com/office/drawing/2014/chart" uri="{C3380CC4-5D6E-409C-BE32-E72D297353CC}">
                    <c16:uniqueId val="{00000015-291B-440A-B802-5B638C2DBA16}"/>
                  </c:ext>
                </c:extLst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Avg_Brev_Az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22"/>
          <c:order val="22"/>
          <c:tx>
            <c:strRef>
              <c:f>'Analisi per Zona-Paese'!$X$1:$X$3</c:f>
              <c:strCache>
                <c:ptCount val="3"/>
                <c:pt idx="1">
                  <c:v>BREVETTI</c:v>
                </c:pt>
                <c:pt idx="2">
                  <c:v>Avg_Brev_Az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'Analisi per Zona-Paese'!$A$4:$A$27</c15:sqref>
                  </c15:fullRef>
                </c:ext>
              </c:extLst>
              <c:f>('Analisi per Zona-Paese'!$A$4,'Analisi per Zona-Paese'!$A$10,'Analisi per Zona-Paese'!$A$16,'Analisi per Zona-Paese'!$A$21,'Analisi per Zona-Paese'!$A$25)</c:f>
              <c:strCache>
                <c:ptCount val="5"/>
                <c:pt idx="0">
                  <c:v>Paesi Scandinavi</c:v>
                </c:pt>
                <c:pt idx="1">
                  <c:v>Paesi Frugali</c:v>
                </c:pt>
                <c:pt idx="2">
                  <c:v>Paesi Est Europa</c:v>
                </c:pt>
                <c:pt idx="3">
                  <c:v>Paesi Asiatici</c:v>
                </c:pt>
                <c:pt idx="4">
                  <c:v>Paesi Oceanici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'Analisi per Zona-Paese'!$X$4:$X$27</c15:sqref>
                  </c15:fullRef>
                </c:ext>
              </c:extLst>
              <c:f>('Analisi per Zona-Paese'!$X$4,'Analisi per Zona-Paese'!$X$10,'Analisi per Zona-Paese'!$X$16,'Analisi per Zona-Paese'!$X$21,'Analisi per Zona-Paese'!$X$25)</c:f>
              <c:numCache>
                <c:formatCode>0.0</c:formatCode>
                <c:ptCount val="5"/>
                <c:pt idx="0">
                  <c:v>34.982456140350877</c:v>
                </c:pt>
                <c:pt idx="1">
                  <c:v>47.361111111111114</c:v>
                </c:pt>
                <c:pt idx="2">
                  <c:v>36.823529411764703</c:v>
                </c:pt>
                <c:pt idx="3">
                  <c:v>102.69444444444444</c:v>
                </c:pt>
                <c:pt idx="4">
                  <c:v>36.384615384615387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33B-4801-8341-EE4235B6D31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51465896"/>
        <c:axId val="3514387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'Analisi per Zona-Paese'!$B$1:$B$3</c15:sqref>
                        </c15:formulaRef>
                      </c:ext>
                    </c:extLst>
                    <c:strCache>
                      <c:ptCount val="3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'Analisi per Zona-Paese'!$B$4:$B$27</c15:sqref>
                        </c15:fullRef>
                        <c15:formulaRef>
                          <c15:sqref>('Analisi per Zona-Paese'!$B$4,'Analisi per Zona-Paese'!$B$10,'Analisi per Zona-Paese'!$B$16,'Analisi per Zona-Paese'!$B$21,'Analisi per Zona-Paese'!$B$25)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33B-4801-8341-EE4235B6D311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Zona-Paese'!$C$1:$C$3</c15:sqref>
                        </c15:formulaRef>
                      </c:ext>
                    </c:extLst>
                    <c:strCache>
                      <c:ptCount val="3"/>
                      <c:pt idx="1">
                        <c:v>ANALISI GEOGRAFICA</c:v>
                      </c:pt>
                      <c:pt idx="2">
                        <c:v>#Aziende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Zona-Paese'!$C$4:$C$27</c15:sqref>
                        </c15:fullRef>
                        <c15:formulaRef>
                          <c15:sqref>('Analisi per Zona-Paese'!$C$4,'Analisi per Zona-Paese'!$C$10,'Analisi per Zona-Paese'!$C$16,'Analisi per Zona-Paese'!$C$21,'Analisi per Zona-Paese'!$C$25)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68</c:v>
                      </c:pt>
                      <c:pt idx="1">
                        <c:v>42</c:v>
                      </c:pt>
                      <c:pt idx="2">
                        <c:v>18</c:v>
                      </c:pt>
                      <c:pt idx="3">
                        <c:v>62</c:v>
                      </c:pt>
                      <c:pt idx="4">
                        <c:v>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33B-4801-8341-EE4235B6D31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Zona-Paese'!$D$1:$D$3</c15:sqref>
                        </c15:formulaRef>
                      </c:ext>
                    </c:extLst>
                    <c:strCache>
                      <c:ptCount val="3"/>
                      <c:pt idx="1">
                        <c:v>ANALISI GEOGRAFICA</c:v>
                      </c:pt>
                      <c:pt idx="2">
                        <c:v>%Totale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Zona-Paese'!$D$4:$D$27</c15:sqref>
                        </c15:fullRef>
                        <c15:formulaRef>
                          <c15:sqref>('Analisi per Zona-Paese'!$D$4,'Analisi per Zona-Paese'!$D$10,'Analisi per Zona-Paese'!$D$16,'Analisi per Zona-Paese'!$D$21,'Analisi per Zona-Paese'!$D$25)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0.33009708737864074</c:v>
                      </c:pt>
                      <c:pt idx="1">
                        <c:v>0.20388349514563103</c:v>
                      </c:pt>
                      <c:pt idx="2">
                        <c:v>8.7378640776699018E-2</c:v>
                      </c:pt>
                      <c:pt idx="3">
                        <c:v>0.30097087378640774</c:v>
                      </c:pt>
                      <c:pt idx="4">
                        <c:v>7.7669902912621352E-2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33B-4801-8341-EE4235B6D31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Zona-Paese'!$E$1:$E$3</c15:sqref>
                        </c15:formulaRef>
                      </c:ext>
                    </c:extLst>
                    <c:strCache>
                      <c:ptCount val="3"/>
                      <c:pt idx="1">
                        <c:v>ANALISI GEOGRAFICA</c:v>
                      </c:pt>
                      <c:pt idx="2">
                        <c:v>%Area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Zona-Paese'!$E$4:$E$27</c15:sqref>
                        </c15:fullRef>
                        <c15:formulaRef>
                          <c15:sqref>('Analisi per Zona-Paese'!$E$4,'Analisi per Zona-Paese'!$E$10,'Analisi per Zona-Paese'!$E$16,'Analisi per Zona-Paese'!$E$21,'Analisi per Zona-Paese'!$E$25)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1</c:v>
                      </c:pt>
                      <c:pt idx="1">
                        <c:v>0.99999999999999989</c:v>
                      </c:pt>
                      <c:pt idx="2">
                        <c:v>0.99999999999999989</c:v>
                      </c:pt>
                      <c:pt idx="3">
                        <c:v>1</c:v>
                      </c:pt>
                      <c:pt idx="4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33B-4801-8341-EE4235B6D311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Zona-Paese'!$F$1:$F$3</c15:sqref>
                        </c15:formulaRef>
                      </c:ext>
                    </c:extLst>
                    <c:strCache>
                      <c:ptCount val="3"/>
                      <c:pt idx="1">
                        <c:v>ANAGRAFICA</c:v>
                      </c:pt>
                      <c:pt idx="2">
                        <c:v>Età media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Zona-Paese'!$F$4:$F$27</c15:sqref>
                        </c15:fullRef>
                        <c15:formulaRef>
                          <c15:sqref>('Analisi per Zona-Paese'!$F$4,'Analisi per Zona-Paese'!$F$10,'Analisi per Zona-Paese'!$F$16,'Analisi per Zona-Paese'!$F$21,'Analisi per Zona-Paese'!$F$25)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19.807017543859651</c:v>
                      </c:pt>
                      <c:pt idx="1">
                        <c:v>18.333333333333332</c:v>
                      </c:pt>
                      <c:pt idx="2">
                        <c:v>18.850000000000001</c:v>
                      </c:pt>
                      <c:pt idx="3">
                        <c:v>35.083333333333336</c:v>
                      </c:pt>
                      <c:pt idx="4">
                        <c:v>14.538461538461538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33B-4801-8341-EE4235B6D311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Zona-Paese'!$G$1:$G$3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#Escluse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Zona-Paese'!$G$4:$G$27</c15:sqref>
                        </c15:fullRef>
                        <c15:formulaRef>
                          <c15:sqref>('Analisi per Zona-Paese'!$G$4,'Analisi per Zona-Paese'!$G$10,'Analisi per Zona-Paese'!$G$16,'Analisi per Zona-Paese'!$G$21,'Analisi per Zona-Paese'!$G$25)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</c:v>
                      </c:pt>
                      <c:pt idx="1">
                        <c:v>6</c:v>
                      </c:pt>
                      <c:pt idx="2">
                        <c:v>1</c:v>
                      </c:pt>
                      <c:pt idx="3">
                        <c:v>26</c:v>
                      </c:pt>
                      <c:pt idx="4">
                        <c:v>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33B-4801-8341-EE4235B6D311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Zona-Paese'!$H$1:$H$3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%suPaese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Zona-Paese'!$H$4:$H$27</c15:sqref>
                        </c15:fullRef>
                        <c15:formulaRef>
                          <c15:sqref>('Analisi per Zona-Paese'!$H$4,'Analisi per Zona-Paese'!$H$10,'Analisi per Zona-Paese'!$H$16,'Analisi per Zona-Paese'!$H$21,'Analisi per Zona-Paese'!$H$25)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0.16176470588235295</c:v>
                      </c:pt>
                      <c:pt idx="1">
                        <c:v>0.14285714285714285</c:v>
                      </c:pt>
                      <c:pt idx="2">
                        <c:v>5.5555555555555552E-2</c:v>
                      </c:pt>
                      <c:pt idx="3">
                        <c:v>0.41935483870967744</c:v>
                      </c:pt>
                      <c:pt idx="4">
                        <c:v>0.1875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33B-4801-8341-EE4235B6D31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Zona-Paese'!$I$1:$I$3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big_cor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Zona-Paese'!$I$4:$I$27</c15:sqref>
                        </c15:fullRef>
                        <c15:formulaRef>
                          <c15:sqref>('Analisi per Zona-Paese'!$I$4,'Analisi per Zona-Paese'!$I$10,'Analisi per Zona-Paese'!$I$16,'Analisi per Zona-Paese'!$I$21,'Analisi per Zona-Paese'!$I$25)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</c:v>
                      </c:pt>
                      <c:pt idx="1">
                        <c:v>2</c:v>
                      </c:pt>
                      <c:pt idx="2">
                        <c:v>0</c:v>
                      </c:pt>
                      <c:pt idx="3">
                        <c:v>16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33B-4801-8341-EE4235B6D31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Zona-Paese'!$J$1:$J$3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disamb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Zona-Paese'!$J$4:$J$27</c15:sqref>
                        </c15:fullRef>
                        <c15:formulaRef>
                          <c15:sqref>('Analisi per Zona-Paese'!$J$4,'Analisi per Zona-Paese'!$J$10,'Analisi per Zona-Paese'!$J$16,'Analisi per Zona-Paese'!$J$21,'Analisi per Zona-Paese'!$J$25)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</c:v>
                      </c:pt>
                      <c:pt idx="1">
                        <c:v>2</c:v>
                      </c:pt>
                      <c:pt idx="2">
                        <c:v>0</c:v>
                      </c:pt>
                      <c:pt idx="3">
                        <c:v>6</c:v>
                      </c:pt>
                      <c:pt idx="4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33B-4801-8341-EE4235B6D311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Zona-Paese'!$K$1:$K$3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diff_cor_biz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Zona-Paese'!$K$4:$K$27</c15:sqref>
                        </c15:fullRef>
                        <c15:formulaRef>
                          <c15:sqref>('Analisi per Zona-Paese'!$K$4,'Analisi per Zona-Paese'!$K$10,'Analisi per Zona-Paese'!$K$16,'Analisi per Zona-Paese'!$K$21,'Analisi per Zona-Paese'!$K$25)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4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33B-4801-8341-EE4235B6D311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Zona-Paese'!$L$1:$L$3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#Nopat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Zona-Paese'!$L$4:$L$27</c15:sqref>
                        </c15:fullRef>
                        <c15:formulaRef>
                          <c15:sqref>('Analisi per Zona-Paese'!$L$4,'Analisi per Zona-Paese'!$L$10,'Analisi per Zona-Paese'!$L$16,'Analisi per Zona-Paese'!$L$21,'Analisi per Zona-Paese'!$L$25)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33B-4801-8341-EE4235B6D311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Zona-Paese'!$M$1:$M$3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#Aziende in esame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Zona-Paese'!$M$4:$M$27</c15:sqref>
                        </c15:fullRef>
                        <c15:formulaRef>
                          <c15:sqref>('Analisi per Zona-Paese'!$M$4,'Analisi per Zona-Paese'!$M$10,'Analisi per Zona-Paese'!$M$16,'Analisi per Zona-Paese'!$M$21,'Analisi per Zona-Paese'!$M$25)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57</c:v>
                      </c:pt>
                      <c:pt idx="1">
                        <c:v>36</c:v>
                      </c:pt>
                      <c:pt idx="2">
                        <c:v>17</c:v>
                      </c:pt>
                      <c:pt idx="3">
                        <c:v>36</c:v>
                      </c:pt>
                      <c:pt idx="4">
                        <c:v>13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33B-4801-8341-EE4235B6D311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Zona-Paese'!$N$1:$N$3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 %Totale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Zona-Paese'!$N$4:$N$27</c15:sqref>
                        </c15:fullRef>
                        <c15:formulaRef>
                          <c15:sqref>('Analisi per Zona-Paese'!$N$4,'Analisi per Zona-Paese'!$N$10,'Analisi per Zona-Paese'!$N$16,'Analisi per Zona-Paese'!$N$21,'Analisi per Zona-Paese'!$N$25)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0.35849056603773588</c:v>
                      </c:pt>
                      <c:pt idx="1">
                        <c:v>0.22641509433962265</c:v>
                      </c:pt>
                      <c:pt idx="2">
                        <c:v>0.1069182389937107</c:v>
                      </c:pt>
                      <c:pt idx="3">
                        <c:v>0.22641509433962265</c:v>
                      </c:pt>
                      <c:pt idx="4">
                        <c:v>8.1761006289308172E-2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33B-4801-8341-EE4235B6D311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Zona-Paese'!$O$1:$O$3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%Area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Zona-Paese'!$O$4:$O$27</c15:sqref>
                        </c15:fullRef>
                        <c15:formulaRef>
                          <c15:sqref>('Analisi per Zona-Paese'!$O$4,'Analisi per Zona-Paese'!$O$10,'Analisi per Zona-Paese'!$O$16,'Analisi per Zona-Paese'!$O$21,'Analisi per Zona-Paese'!$O$25)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33B-4801-8341-EE4235B6D311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Zona-Paese'!$P$1:$P$3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US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Zona-Paese'!$P$4:$P$27</c15:sqref>
                        </c15:fullRef>
                        <c15:formulaRef>
                          <c15:sqref>('Analisi per Zona-Paese'!$P$4,'Analisi per Zona-Paese'!$P$10,'Analisi per Zona-Paese'!$P$16,'Analisi per Zona-Paese'!$P$21,'Analisi per Zona-Paese'!$P$25)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25</c:v>
                      </c:pt>
                      <c:pt idx="1">
                        <c:v>12</c:v>
                      </c:pt>
                      <c:pt idx="2">
                        <c:v>6</c:v>
                      </c:pt>
                      <c:pt idx="3">
                        <c:v>14</c:v>
                      </c:pt>
                      <c:pt idx="4">
                        <c:v>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33B-4801-8341-EE4235B6D311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Zona-Paese'!$Q$1:$Q$3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DS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Zona-Paese'!$Q$4:$Q$27</c15:sqref>
                        </c15:fullRef>
                        <c15:formulaRef>
                          <c15:sqref>('Analisi per Zona-Paese'!$Q$4,'Analisi per Zona-Paese'!$Q$10,'Analisi per Zona-Paese'!$Q$16,'Analisi per Zona-Paese'!$Q$21,'Analisi per Zona-Paese'!$Q$25)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28</c:v>
                      </c:pt>
                      <c:pt idx="1">
                        <c:v>23</c:v>
                      </c:pt>
                      <c:pt idx="2">
                        <c:v>9</c:v>
                      </c:pt>
                      <c:pt idx="3">
                        <c:v>19</c:v>
                      </c:pt>
                      <c:pt idx="4">
                        <c:v>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33B-4801-8341-EE4235B6D311}"/>
                  </c:ext>
                </c:extLst>
              </c15:ser>
            </c15:filteredBarSeries>
            <c15:filteredBa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Zona-Paese'!$R$1:$R$3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US&amp;DS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Zona-Paese'!$R$4:$R$27</c15:sqref>
                        </c15:fullRef>
                        <c15:formulaRef>
                          <c15:sqref>('Analisi per Zona-Paese'!$R$4,'Analisi per Zona-Paese'!$R$10,'Analisi per Zona-Paese'!$R$16,'Analisi per Zona-Paese'!$R$21,'Analisi per Zona-Paese'!$R$25)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33B-4801-8341-EE4235B6D311}"/>
                  </c:ext>
                </c:extLst>
              </c15:ser>
            </c15:filteredBarSeries>
            <c15:filteredBa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Zona-Paese'!$S$1:$S$3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%US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Zona-Paese'!$S$4:$S$27</c15:sqref>
                        </c15:fullRef>
                        <c15:formulaRef>
                          <c15:sqref>('Analisi per Zona-Paese'!$S$4,'Analisi per Zona-Paese'!$S$10,'Analisi per Zona-Paese'!$S$16,'Analisi per Zona-Paese'!$S$21,'Analisi per Zona-Paese'!$S$25)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0.43859649122807015</c:v>
                      </c:pt>
                      <c:pt idx="1">
                        <c:v>0.33333333333333331</c:v>
                      </c:pt>
                      <c:pt idx="2">
                        <c:v>0.35294117647058826</c:v>
                      </c:pt>
                      <c:pt idx="3">
                        <c:v>0.3888888888888889</c:v>
                      </c:pt>
                      <c:pt idx="4">
                        <c:v>0.38461538461538464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33B-4801-8341-EE4235B6D311}"/>
                  </c:ext>
                </c:extLst>
              </c15:ser>
            </c15:filteredBarSeries>
            <c15:filteredBa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Zona-Paese'!$T$1:$T$3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%DS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Zona-Paese'!$T$4:$T$27</c15:sqref>
                        </c15:fullRef>
                        <c15:formulaRef>
                          <c15:sqref>('Analisi per Zona-Paese'!$T$4,'Analisi per Zona-Paese'!$T$10,'Analisi per Zona-Paese'!$T$16,'Analisi per Zona-Paese'!$T$21,'Analisi per Zona-Paese'!$T$25)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0.49122807017543857</c:v>
                      </c:pt>
                      <c:pt idx="1">
                        <c:v>0.63888888888888884</c:v>
                      </c:pt>
                      <c:pt idx="2">
                        <c:v>0.52941176470588236</c:v>
                      </c:pt>
                      <c:pt idx="3">
                        <c:v>0.52777777777777779</c:v>
                      </c:pt>
                      <c:pt idx="4">
                        <c:v>0.61538461538461542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33B-4801-8341-EE4235B6D311}"/>
                  </c:ext>
                </c:extLst>
              </c15:ser>
            </c15:filteredBarSeries>
            <c15:filteredBa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Zona-Paese'!$U$1:$U$3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%US&amp;DS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Zona-Paese'!$U$4:$U$27</c15:sqref>
                        </c15:fullRef>
                        <c15:formulaRef>
                          <c15:sqref>('Analisi per Zona-Paese'!$U$4,'Analisi per Zona-Paese'!$U$10,'Analisi per Zona-Paese'!$U$16,'Analisi per Zona-Paese'!$U$21,'Analisi per Zona-Paese'!$U$25)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7.0175438596491224E-2</c:v>
                      </c:pt>
                      <c:pt idx="1">
                        <c:v>2.7777777777777776E-2</c:v>
                      </c:pt>
                      <c:pt idx="2">
                        <c:v>0.11764705882352941</c:v>
                      </c:pt>
                      <c:pt idx="3">
                        <c:v>8.3333333333333329E-2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33B-4801-8341-EE4235B6D311}"/>
                  </c:ext>
                </c:extLst>
              </c15:ser>
            </c15:filteredBarSeries>
            <c15:filteredBa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Zona-Paese'!$V$1:$V$3</c15:sqref>
                        </c15:formulaRef>
                      </c:ext>
                    </c:extLst>
                    <c:strCache>
                      <c:ptCount val="3"/>
                      <c:pt idx="1">
                        <c:v>BREVETTI</c:v>
                      </c:pt>
                      <c:pt idx="2">
                        <c:v>#Brevetti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Zona-Paese'!$V$4:$V$27</c15:sqref>
                        </c15:fullRef>
                        <c15:formulaRef>
                          <c15:sqref>('Analisi per Zona-Paese'!$V$4,'Analisi per Zona-Paese'!$V$10,'Analisi per Zona-Paese'!$V$16,'Analisi per Zona-Paese'!$V$21,'Analisi per Zona-Paese'!$V$25)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1994</c:v>
                      </c:pt>
                      <c:pt idx="1">
                        <c:v>1705</c:v>
                      </c:pt>
                      <c:pt idx="2">
                        <c:v>626</c:v>
                      </c:pt>
                      <c:pt idx="3">
                        <c:v>3697</c:v>
                      </c:pt>
                      <c:pt idx="4">
                        <c:v>473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733B-4801-8341-EE4235B6D311}"/>
                  </c:ext>
                </c:extLst>
              </c15:ser>
            </c15:filteredBarSeries>
            <c15:filteredBa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Zona-Paese'!$W$1:$W$3</c15:sqref>
                        </c15:formulaRef>
                      </c:ext>
                    </c:extLst>
                    <c:strCache>
                      <c:ptCount val="3"/>
                      <c:pt idx="1">
                        <c:v>BREVETTI</c:v>
                      </c:pt>
                      <c:pt idx="2">
                        <c:v>%BrevArea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Zona-Paese'!$W$4:$W$27</c15:sqref>
                        </c15:fullRef>
                        <c15:formulaRef>
                          <c15:sqref>('Analisi per Zona-Paese'!$W$4,'Analisi per Zona-Paese'!$W$10,'Analisi per Zona-Paese'!$W$16,'Analisi per Zona-Paese'!$W$21,'Analisi per Zona-Paese'!$W$25)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0.23472630959387875</c:v>
                      </c:pt>
                      <c:pt idx="1">
                        <c:v>0.20070629782224839</c:v>
                      </c:pt>
                      <c:pt idx="2">
                        <c:v>7.369040612124779E-2</c:v>
                      </c:pt>
                      <c:pt idx="3">
                        <c:v>0.43519717480871101</c:v>
                      </c:pt>
                      <c:pt idx="4">
                        <c:v>5.5679811653914064E-2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733B-4801-8341-EE4235B6D311}"/>
                  </c:ext>
                </c:extLst>
              </c15:ser>
            </c15:filteredBarSeries>
          </c:ext>
        </c:extLst>
      </c:barChart>
      <c:catAx>
        <c:axId val="351465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Area Geografica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438712"/>
        <c:crosses val="autoZero"/>
        <c:auto val="1"/>
        <c:lblAlgn val="ctr"/>
        <c:lblOffset val="100"/>
        <c:noMultiLvlLbl val="0"/>
      </c:catAx>
      <c:valAx>
        <c:axId val="351438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Media Brevetti</a:t>
                </a:r>
                <a:r>
                  <a:rPr lang="it-IT" baseline="0"/>
                  <a:t> per Azienda</a:t>
                </a:r>
                <a:endParaRPr lang="it-I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465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#Brevetti</a:t>
            </a:r>
            <a:r>
              <a:rPr lang="it-IT" baseline="0"/>
              <a:t> per Area Geografica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20"/>
          <c:order val="20"/>
          <c:tx>
            <c:strRef>
              <c:f>'Analisi per Zona-Paese'!$V$1:$V$3</c:f>
              <c:strCache>
                <c:ptCount val="3"/>
                <c:pt idx="1">
                  <c:v>BREVETTI</c:v>
                </c:pt>
                <c:pt idx="2">
                  <c:v>#Brevetti</c:v>
                </c:pt>
              </c:strCache>
              <c:extLst xmlns:c15="http://schemas.microsoft.com/office/drawing/2012/chart"/>
            </c:strRef>
          </c:tx>
          <c:spPr>
            <a:solidFill>
              <a:schemeClr val="accent4">
                <a:tint val="4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'Analisi per Zona-Paese'!$A$4:$A$27</c15:sqref>
                  </c15:fullRef>
                </c:ext>
              </c:extLst>
              <c:f>('Analisi per Zona-Paese'!$A$4,'Analisi per Zona-Paese'!$A$10,'Analisi per Zona-Paese'!$A$16,'Analisi per Zona-Paese'!$A$21,'Analisi per Zona-Paese'!$A$25)</c:f>
              <c:strCache>
                <c:ptCount val="5"/>
                <c:pt idx="0">
                  <c:v>Paesi Scandinavi</c:v>
                </c:pt>
                <c:pt idx="1">
                  <c:v>Paesi Frugali</c:v>
                </c:pt>
                <c:pt idx="2">
                  <c:v>Paesi Est Europa</c:v>
                </c:pt>
                <c:pt idx="3">
                  <c:v>Paesi Asiatici</c:v>
                </c:pt>
                <c:pt idx="4">
                  <c:v>Paesi Oceanici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'Analisi per Zona-Paese'!$V$4:$V$27</c15:sqref>
                  </c15:fullRef>
                </c:ext>
              </c:extLst>
              <c:f>('Analisi per Zona-Paese'!$V$4,'Analisi per Zona-Paese'!$V$10,'Analisi per Zona-Paese'!$V$16,'Analisi per Zona-Paese'!$V$21,'Analisi per Zona-Paese'!$V$25)</c:f>
              <c:numCache>
                <c:formatCode>General</c:formatCode>
                <c:ptCount val="5"/>
                <c:pt idx="0">
                  <c:v>1994</c:v>
                </c:pt>
                <c:pt idx="1">
                  <c:v>1705</c:v>
                </c:pt>
                <c:pt idx="2">
                  <c:v>626</c:v>
                </c:pt>
                <c:pt idx="3">
                  <c:v>3697</c:v>
                </c:pt>
                <c:pt idx="4">
                  <c:v>473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5-1C59-4241-8FD7-D5B21A62726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51441456"/>
        <c:axId val="351439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'Analisi per Zona-Paese'!$B$1:$B$3</c15:sqref>
                        </c15:formulaRef>
                      </c:ext>
                    </c:extLst>
                    <c:strCache>
                      <c:ptCount val="3"/>
                    </c:strCache>
                  </c:strRef>
                </c:tx>
                <c:spPr>
                  <a:solidFill>
                    <a:schemeClr val="accent4">
                      <a:shade val="3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'Analisi per Zona-Paese'!$B$4:$B$27</c15:sqref>
                        </c15:fullRef>
                        <c15:formulaRef>
                          <c15:sqref>('Analisi per Zona-Paese'!$B$4,'Analisi per Zona-Paese'!$B$10,'Analisi per Zona-Paese'!$B$16,'Analisi per Zona-Paese'!$B$21,'Analisi per Zona-Paese'!$B$25)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C59-4241-8FD7-D5B21A62726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Zona-Paese'!$C$1:$C$3</c15:sqref>
                        </c15:formulaRef>
                      </c:ext>
                    </c:extLst>
                    <c:strCache>
                      <c:ptCount val="3"/>
                      <c:pt idx="1">
                        <c:v>ANALISI GEOGRAFICA</c:v>
                      </c:pt>
                      <c:pt idx="2">
                        <c:v>#Aziende</c:v>
                      </c:pt>
                    </c:strCache>
                  </c:strRef>
                </c:tx>
                <c:spPr>
                  <a:solidFill>
                    <a:schemeClr val="accent4">
                      <a:shade val="4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Zona-Paese'!$C$4:$C$27</c15:sqref>
                        </c15:fullRef>
                        <c15:formulaRef>
                          <c15:sqref>('Analisi per Zona-Paese'!$C$4,'Analisi per Zona-Paese'!$C$10,'Analisi per Zona-Paese'!$C$16,'Analisi per Zona-Paese'!$C$21,'Analisi per Zona-Paese'!$C$25)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68</c:v>
                      </c:pt>
                      <c:pt idx="1">
                        <c:v>42</c:v>
                      </c:pt>
                      <c:pt idx="2">
                        <c:v>18</c:v>
                      </c:pt>
                      <c:pt idx="3">
                        <c:v>62</c:v>
                      </c:pt>
                      <c:pt idx="4">
                        <c:v>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C59-4241-8FD7-D5B21A62726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Zona-Paese'!$D$1:$D$3</c15:sqref>
                        </c15:formulaRef>
                      </c:ext>
                    </c:extLst>
                    <c:strCache>
                      <c:ptCount val="3"/>
                      <c:pt idx="1">
                        <c:v>ANALISI GEOGRAFICA</c:v>
                      </c:pt>
                      <c:pt idx="2">
                        <c:v>%Totale</c:v>
                      </c:pt>
                    </c:strCache>
                  </c:strRef>
                </c:tx>
                <c:spPr>
                  <a:solidFill>
                    <a:schemeClr val="accent4">
                      <a:shade val="47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Zona-Paese'!$D$4:$D$27</c15:sqref>
                        </c15:fullRef>
                        <c15:formulaRef>
                          <c15:sqref>('Analisi per Zona-Paese'!$D$4,'Analisi per Zona-Paese'!$D$10,'Analisi per Zona-Paese'!$D$16,'Analisi per Zona-Paese'!$D$21,'Analisi per Zona-Paese'!$D$25)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0.33009708737864074</c:v>
                      </c:pt>
                      <c:pt idx="1">
                        <c:v>0.20388349514563103</c:v>
                      </c:pt>
                      <c:pt idx="2">
                        <c:v>8.7378640776699018E-2</c:v>
                      </c:pt>
                      <c:pt idx="3">
                        <c:v>0.30097087378640774</c:v>
                      </c:pt>
                      <c:pt idx="4">
                        <c:v>7.7669902912621352E-2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C59-4241-8FD7-D5B21A62726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Zona-Paese'!$E$1:$E$3</c15:sqref>
                        </c15:formulaRef>
                      </c:ext>
                    </c:extLst>
                    <c:strCache>
                      <c:ptCount val="3"/>
                      <c:pt idx="1">
                        <c:v>ANALISI GEOGRAFICA</c:v>
                      </c:pt>
                      <c:pt idx="2">
                        <c:v>%Area</c:v>
                      </c:pt>
                    </c:strCache>
                  </c:strRef>
                </c:tx>
                <c:spPr>
                  <a:solidFill>
                    <a:schemeClr val="accent4">
                      <a:shade val="5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Zona-Paese'!$E$4:$E$27</c15:sqref>
                        </c15:fullRef>
                        <c15:formulaRef>
                          <c15:sqref>('Analisi per Zona-Paese'!$E$4,'Analisi per Zona-Paese'!$E$10,'Analisi per Zona-Paese'!$E$16,'Analisi per Zona-Paese'!$E$21,'Analisi per Zona-Paese'!$E$25)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1</c:v>
                      </c:pt>
                      <c:pt idx="1">
                        <c:v>0.99999999999999989</c:v>
                      </c:pt>
                      <c:pt idx="2">
                        <c:v>0.99999999999999989</c:v>
                      </c:pt>
                      <c:pt idx="3">
                        <c:v>1</c:v>
                      </c:pt>
                      <c:pt idx="4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C59-4241-8FD7-D5B21A62726F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Zona-Paese'!$F$1:$F$3</c15:sqref>
                        </c15:formulaRef>
                      </c:ext>
                    </c:extLst>
                    <c:strCache>
                      <c:ptCount val="3"/>
                      <c:pt idx="1">
                        <c:v>ANAGRAFICA</c:v>
                      </c:pt>
                      <c:pt idx="2">
                        <c:v>Età media</c:v>
                      </c:pt>
                    </c:strCache>
                  </c:strRef>
                </c:tx>
                <c:spPr>
                  <a:solidFill>
                    <a:schemeClr val="accent4">
                      <a:shade val="5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Zona-Paese'!$F$4:$F$27</c15:sqref>
                        </c15:fullRef>
                        <c15:formulaRef>
                          <c15:sqref>('Analisi per Zona-Paese'!$F$4,'Analisi per Zona-Paese'!$F$10,'Analisi per Zona-Paese'!$F$16,'Analisi per Zona-Paese'!$F$21,'Analisi per Zona-Paese'!$F$25)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19.807017543859651</c:v>
                      </c:pt>
                      <c:pt idx="1">
                        <c:v>18.333333333333332</c:v>
                      </c:pt>
                      <c:pt idx="2">
                        <c:v>18.850000000000001</c:v>
                      </c:pt>
                      <c:pt idx="3">
                        <c:v>35.083333333333336</c:v>
                      </c:pt>
                      <c:pt idx="4">
                        <c:v>14.538461538461538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C59-4241-8FD7-D5B21A62726F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Zona-Paese'!$G$1:$G$3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#Escluse</c:v>
                      </c:pt>
                    </c:strCache>
                  </c:strRef>
                </c:tx>
                <c:spPr>
                  <a:solidFill>
                    <a:schemeClr val="accent4">
                      <a:shade val="6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Zona-Paese'!$G$4:$G$27</c15:sqref>
                        </c15:fullRef>
                        <c15:formulaRef>
                          <c15:sqref>('Analisi per Zona-Paese'!$G$4,'Analisi per Zona-Paese'!$G$10,'Analisi per Zona-Paese'!$G$16,'Analisi per Zona-Paese'!$G$21,'Analisi per Zona-Paese'!$G$25)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</c:v>
                      </c:pt>
                      <c:pt idx="1">
                        <c:v>6</c:v>
                      </c:pt>
                      <c:pt idx="2">
                        <c:v>1</c:v>
                      </c:pt>
                      <c:pt idx="3">
                        <c:v>26</c:v>
                      </c:pt>
                      <c:pt idx="4">
                        <c:v>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C59-4241-8FD7-D5B21A62726F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Zona-Paese'!$H$1:$H$3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%suPaese</c:v>
                      </c:pt>
                    </c:strCache>
                  </c:strRef>
                </c:tx>
                <c:spPr>
                  <a:solidFill>
                    <a:schemeClr val="accent4">
                      <a:shade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Zona-Paese'!$H$4:$H$27</c15:sqref>
                        </c15:fullRef>
                        <c15:formulaRef>
                          <c15:sqref>('Analisi per Zona-Paese'!$H$4,'Analisi per Zona-Paese'!$H$10,'Analisi per Zona-Paese'!$H$16,'Analisi per Zona-Paese'!$H$21,'Analisi per Zona-Paese'!$H$25)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0.16176470588235295</c:v>
                      </c:pt>
                      <c:pt idx="1">
                        <c:v>0.14285714285714285</c:v>
                      </c:pt>
                      <c:pt idx="2">
                        <c:v>5.5555555555555552E-2</c:v>
                      </c:pt>
                      <c:pt idx="3">
                        <c:v>0.41935483870967744</c:v>
                      </c:pt>
                      <c:pt idx="4">
                        <c:v>0.1875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C59-4241-8FD7-D5B21A62726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Zona-Paese'!$I$1:$I$3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big_cor</c:v>
                      </c:pt>
                    </c:strCache>
                  </c:strRef>
                </c:tx>
                <c:spPr>
                  <a:solidFill>
                    <a:schemeClr val="accent4">
                      <a:shade val="7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Zona-Paese'!$I$4:$I$27</c15:sqref>
                        </c15:fullRef>
                        <c15:formulaRef>
                          <c15:sqref>('Analisi per Zona-Paese'!$I$4,'Analisi per Zona-Paese'!$I$10,'Analisi per Zona-Paese'!$I$16,'Analisi per Zona-Paese'!$I$21,'Analisi per Zona-Paese'!$I$25)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</c:v>
                      </c:pt>
                      <c:pt idx="1">
                        <c:v>2</c:v>
                      </c:pt>
                      <c:pt idx="2">
                        <c:v>0</c:v>
                      </c:pt>
                      <c:pt idx="3">
                        <c:v>16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C59-4241-8FD7-D5B21A62726F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Zona-Paese'!$J$1:$J$3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disamb</c:v>
                      </c:pt>
                    </c:strCache>
                  </c:strRef>
                </c:tx>
                <c:spPr>
                  <a:solidFill>
                    <a:schemeClr val="accent4">
                      <a:shade val="8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Zona-Paese'!$J$4:$J$27</c15:sqref>
                        </c15:fullRef>
                        <c15:formulaRef>
                          <c15:sqref>('Analisi per Zona-Paese'!$J$4,'Analisi per Zona-Paese'!$J$10,'Analisi per Zona-Paese'!$J$16,'Analisi per Zona-Paese'!$J$21,'Analisi per Zona-Paese'!$J$25)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</c:v>
                      </c:pt>
                      <c:pt idx="1">
                        <c:v>2</c:v>
                      </c:pt>
                      <c:pt idx="2">
                        <c:v>0</c:v>
                      </c:pt>
                      <c:pt idx="3">
                        <c:v>6</c:v>
                      </c:pt>
                      <c:pt idx="4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C59-4241-8FD7-D5B21A62726F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Zona-Paese'!$K$1:$K$3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diff_cor_biz</c:v>
                      </c:pt>
                    </c:strCache>
                  </c:strRef>
                </c:tx>
                <c:spPr>
                  <a:solidFill>
                    <a:schemeClr val="accent4">
                      <a:shade val="8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Zona-Paese'!$K$4:$K$27</c15:sqref>
                        </c15:fullRef>
                        <c15:formulaRef>
                          <c15:sqref>('Analisi per Zona-Paese'!$K$4,'Analisi per Zona-Paese'!$K$10,'Analisi per Zona-Paese'!$K$16,'Analisi per Zona-Paese'!$K$21,'Analisi per Zona-Paese'!$K$25)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4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C59-4241-8FD7-D5B21A62726F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Zona-Paese'!$L$1:$L$3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#Nopat</c:v>
                      </c:pt>
                    </c:strCache>
                  </c:strRef>
                </c:tx>
                <c:spPr>
                  <a:solidFill>
                    <a:schemeClr val="accent4">
                      <a:shade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Zona-Paese'!$L$4:$L$27</c15:sqref>
                        </c15:fullRef>
                        <c15:formulaRef>
                          <c15:sqref>('Analisi per Zona-Paese'!$L$4,'Analisi per Zona-Paese'!$L$10,'Analisi per Zona-Paese'!$L$16,'Analisi per Zona-Paese'!$L$21,'Analisi per Zona-Paese'!$L$25)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0</c:v>
                      </c:pt>
                      <c:pt idx="4">
                        <c:v>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C59-4241-8FD7-D5B21A62726F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Zona-Paese'!$M$1:$M$3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#Aziende in esame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Zona-Paese'!$M$4:$M$27</c15:sqref>
                        </c15:fullRef>
                        <c15:formulaRef>
                          <c15:sqref>('Analisi per Zona-Paese'!$M$4,'Analisi per Zona-Paese'!$M$10,'Analisi per Zona-Paese'!$M$16,'Analisi per Zona-Paese'!$M$21,'Analisi per Zona-Paese'!$M$25)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57</c:v>
                      </c:pt>
                      <c:pt idx="1">
                        <c:v>36</c:v>
                      </c:pt>
                      <c:pt idx="2">
                        <c:v>17</c:v>
                      </c:pt>
                      <c:pt idx="3">
                        <c:v>36</c:v>
                      </c:pt>
                      <c:pt idx="4">
                        <c:v>13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C59-4241-8FD7-D5B21A62726F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Zona-Paese'!$N$1:$N$3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 %Totale</c:v>
                      </c:pt>
                    </c:strCache>
                  </c:strRef>
                </c:tx>
                <c:spPr>
                  <a:solidFill>
                    <a:schemeClr val="accent4">
                      <a:tint val="9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Zona-Paese'!$N$4:$N$27</c15:sqref>
                        </c15:fullRef>
                        <c15:formulaRef>
                          <c15:sqref>('Analisi per Zona-Paese'!$N$4,'Analisi per Zona-Paese'!$N$10,'Analisi per Zona-Paese'!$N$16,'Analisi per Zona-Paese'!$N$21,'Analisi per Zona-Paese'!$N$25)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0.35849056603773588</c:v>
                      </c:pt>
                      <c:pt idx="1">
                        <c:v>0.22641509433962265</c:v>
                      </c:pt>
                      <c:pt idx="2">
                        <c:v>0.1069182389937107</c:v>
                      </c:pt>
                      <c:pt idx="3">
                        <c:v>0.22641509433962265</c:v>
                      </c:pt>
                      <c:pt idx="4">
                        <c:v>8.1761006289308172E-2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C59-4241-8FD7-D5B21A62726F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Zona-Paese'!$O$1:$O$3</c15:sqref>
                        </c15:formulaRef>
                      </c:ext>
                    </c:extLst>
                    <c:strCache>
                      <c:ptCount val="3"/>
                      <c:pt idx="1">
                        <c:v>IDENTIFICAZIONE EXCLUDED</c:v>
                      </c:pt>
                      <c:pt idx="2">
                        <c:v>%Area</c:v>
                      </c:pt>
                    </c:strCache>
                  </c:strRef>
                </c:tx>
                <c:spPr>
                  <a:solidFill>
                    <a:schemeClr val="accent4">
                      <a:tint val="8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Zona-Paese'!$O$4:$O$27</c15:sqref>
                        </c15:fullRef>
                        <c15:formulaRef>
                          <c15:sqref>('Analisi per Zona-Paese'!$O$4,'Analisi per Zona-Paese'!$O$10,'Analisi per Zona-Paese'!$O$16,'Analisi per Zona-Paese'!$O$21,'Analisi per Zona-Paese'!$O$25)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C59-4241-8FD7-D5B21A62726F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Zona-Paese'!$P$1:$P$3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US</c:v>
                      </c:pt>
                    </c:strCache>
                  </c:strRef>
                </c:tx>
                <c:spPr>
                  <a:solidFill>
                    <a:schemeClr val="accent4">
                      <a:tint val="8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Zona-Paese'!$P$4:$P$27</c15:sqref>
                        </c15:fullRef>
                        <c15:formulaRef>
                          <c15:sqref>('Analisi per Zona-Paese'!$P$4,'Analisi per Zona-Paese'!$P$10,'Analisi per Zona-Paese'!$P$16,'Analisi per Zona-Paese'!$P$21,'Analisi per Zona-Paese'!$P$25)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25</c:v>
                      </c:pt>
                      <c:pt idx="1">
                        <c:v>12</c:v>
                      </c:pt>
                      <c:pt idx="2">
                        <c:v>6</c:v>
                      </c:pt>
                      <c:pt idx="3">
                        <c:v>14</c:v>
                      </c:pt>
                      <c:pt idx="4">
                        <c:v>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C59-4241-8FD7-D5B21A62726F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Zona-Paese'!$Q$1:$Q$3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DS</c:v>
                      </c:pt>
                    </c:strCache>
                  </c:strRef>
                </c:tx>
                <c:spPr>
                  <a:solidFill>
                    <a:schemeClr val="accent4">
                      <a:tint val="77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Zona-Paese'!$Q$4:$Q$27</c15:sqref>
                        </c15:fullRef>
                        <c15:formulaRef>
                          <c15:sqref>('Analisi per Zona-Paese'!$Q$4,'Analisi per Zona-Paese'!$Q$10,'Analisi per Zona-Paese'!$Q$16,'Analisi per Zona-Paese'!$Q$21,'Analisi per Zona-Paese'!$Q$25)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28</c:v>
                      </c:pt>
                      <c:pt idx="1">
                        <c:v>23</c:v>
                      </c:pt>
                      <c:pt idx="2">
                        <c:v>9</c:v>
                      </c:pt>
                      <c:pt idx="3">
                        <c:v>19</c:v>
                      </c:pt>
                      <c:pt idx="4">
                        <c:v>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C59-4241-8FD7-D5B21A62726F}"/>
                  </c:ext>
                </c:extLst>
              </c15:ser>
            </c15:filteredBarSeries>
            <c15:filteredBa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Zona-Paese'!$R$1:$R$3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US&amp;DS</c:v>
                      </c:pt>
                    </c:strCache>
                  </c:strRef>
                </c:tx>
                <c:spPr>
                  <a:solidFill>
                    <a:schemeClr val="accent4">
                      <a:tint val="7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Zona-Paese'!$R$4:$R$27</c15:sqref>
                        </c15:fullRef>
                        <c15:formulaRef>
                          <c15:sqref>('Analisi per Zona-Paese'!$R$4,'Analisi per Zona-Paese'!$R$10,'Analisi per Zona-Paese'!$R$16,'Analisi per Zona-Paese'!$R$21,'Analisi per Zona-Paese'!$R$25)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C59-4241-8FD7-D5B21A62726F}"/>
                  </c:ext>
                </c:extLst>
              </c15:ser>
            </c15:filteredBarSeries>
            <c15:filteredBa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Zona-Paese'!$S$1:$S$3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%US</c:v>
                      </c:pt>
                    </c:strCache>
                  </c:strRef>
                </c:tx>
                <c:spPr>
                  <a:solidFill>
                    <a:schemeClr val="accent4">
                      <a:tint val="6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Zona-Paese'!$S$4:$S$27</c15:sqref>
                        </c15:fullRef>
                        <c15:formulaRef>
                          <c15:sqref>('Analisi per Zona-Paese'!$S$4,'Analisi per Zona-Paese'!$S$10,'Analisi per Zona-Paese'!$S$16,'Analisi per Zona-Paese'!$S$21,'Analisi per Zona-Paese'!$S$25)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0.43859649122807015</c:v>
                      </c:pt>
                      <c:pt idx="1">
                        <c:v>0.33333333333333331</c:v>
                      </c:pt>
                      <c:pt idx="2">
                        <c:v>0.35294117647058826</c:v>
                      </c:pt>
                      <c:pt idx="3">
                        <c:v>0.3888888888888889</c:v>
                      </c:pt>
                      <c:pt idx="4">
                        <c:v>0.38461538461538464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C59-4241-8FD7-D5B21A62726F}"/>
                  </c:ext>
                </c:extLst>
              </c15:ser>
            </c15:filteredBarSeries>
            <c15:filteredBa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Zona-Paese'!$T$1:$T$3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%DS</c:v>
                      </c:pt>
                    </c:strCache>
                  </c:strRef>
                </c:tx>
                <c:spPr>
                  <a:solidFill>
                    <a:schemeClr val="accent4">
                      <a:tint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Zona-Paese'!$T$4:$T$27</c15:sqref>
                        </c15:fullRef>
                        <c15:formulaRef>
                          <c15:sqref>('Analisi per Zona-Paese'!$T$4,'Analisi per Zona-Paese'!$T$10,'Analisi per Zona-Paese'!$T$16,'Analisi per Zona-Paese'!$T$21,'Analisi per Zona-Paese'!$T$25)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0.49122807017543857</c:v>
                      </c:pt>
                      <c:pt idx="1">
                        <c:v>0.63888888888888884</c:v>
                      </c:pt>
                      <c:pt idx="2">
                        <c:v>0.52941176470588236</c:v>
                      </c:pt>
                      <c:pt idx="3">
                        <c:v>0.52777777777777779</c:v>
                      </c:pt>
                      <c:pt idx="4">
                        <c:v>0.61538461538461542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C59-4241-8FD7-D5B21A62726F}"/>
                  </c:ext>
                </c:extLst>
              </c15:ser>
            </c15:filteredBarSeries>
            <c15:filteredBa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Zona-Paese'!$U$1:$U$3</c15:sqref>
                        </c15:formulaRef>
                      </c:ext>
                    </c:extLst>
                    <c:strCache>
                      <c:ptCount val="3"/>
                      <c:pt idx="1">
                        <c:v>TIPO DI AZIENDA</c:v>
                      </c:pt>
                      <c:pt idx="2">
                        <c:v>%US&amp;DS</c:v>
                      </c:pt>
                    </c:strCache>
                  </c:strRef>
                </c:tx>
                <c:spPr>
                  <a:solidFill>
                    <a:schemeClr val="accent4">
                      <a:tint val="5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Zona-Paese'!$U$4:$U$27</c15:sqref>
                        </c15:fullRef>
                        <c15:formulaRef>
                          <c15:sqref>('Analisi per Zona-Paese'!$U$4,'Analisi per Zona-Paese'!$U$10,'Analisi per Zona-Paese'!$U$16,'Analisi per Zona-Paese'!$U$21,'Analisi per Zona-Paese'!$U$25)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7.0175438596491224E-2</c:v>
                      </c:pt>
                      <c:pt idx="1">
                        <c:v>2.7777777777777776E-2</c:v>
                      </c:pt>
                      <c:pt idx="2">
                        <c:v>0.11764705882352941</c:v>
                      </c:pt>
                      <c:pt idx="3">
                        <c:v>8.3333333333333329E-2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C59-4241-8FD7-D5B21A62726F}"/>
                  </c:ext>
                </c:extLst>
              </c15:ser>
            </c15:filteredBarSeries>
            <c15:filteredBa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Zona-Paese'!$W$1:$W$3</c15:sqref>
                        </c15:formulaRef>
                      </c:ext>
                    </c:extLst>
                    <c:strCache>
                      <c:ptCount val="3"/>
                      <c:pt idx="1">
                        <c:v>BREVETTI</c:v>
                      </c:pt>
                      <c:pt idx="2">
                        <c:v>%BrevArea</c:v>
                      </c:pt>
                    </c:strCache>
                  </c:strRef>
                </c:tx>
                <c:spPr>
                  <a:solidFill>
                    <a:schemeClr val="accent4">
                      <a:tint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Zona-Paese'!$W$4:$W$27</c15:sqref>
                        </c15:fullRef>
                        <c15:formulaRef>
                          <c15:sqref>('Analisi per Zona-Paese'!$W$4,'Analisi per Zona-Paese'!$W$10,'Analisi per Zona-Paese'!$W$16,'Analisi per Zona-Paese'!$W$21,'Analisi per Zona-Paese'!$W$25)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0.23472630959387875</c:v>
                      </c:pt>
                      <c:pt idx="1">
                        <c:v>0.20070629782224839</c:v>
                      </c:pt>
                      <c:pt idx="2">
                        <c:v>7.369040612124779E-2</c:v>
                      </c:pt>
                      <c:pt idx="3">
                        <c:v>0.43519717480871101</c:v>
                      </c:pt>
                      <c:pt idx="4">
                        <c:v>5.5679811653914064E-2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C59-4241-8FD7-D5B21A62726F}"/>
                  </c:ext>
                </c:extLst>
              </c15:ser>
            </c15:filteredBarSeries>
            <c15:filteredBa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Zona-Paese'!$X$1:$X$3</c15:sqref>
                        </c15:formulaRef>
                      </c:ext>
                    </c:extLst>
                    <c:strCache>
                      <c:ptCount val="3"/>
                      <c:pt idx="1">
                        <c:v>BREVETTI</c:v>
                      </c:pt>
                      <c:pt idx="2">
                        <c:v>Avg_Brev_Az</c:v>
                      </c:pt>
                    </c:strCache>
                  </c:strRef>
                </c:tx>
                <c:spPr>
                  <a:solidFill>
                    <a:schemeClr val="accent4">
                      <a:tint val="3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Zona-Paese'!$A$4:$A$27</c15:sqref>
                        </c15:fullRef>
                        <c15:formulaRef>
                          <c15:sqref>('Analisi per Zona-Paese'!$A$4,'Analisi per Zona-Paese'!$A$10,'Analisi per Zona-Paese'!$A$16,'Analisi per Zona-Paese'!$A$21,'Analisi per Zona-Paese'!$A$25)</c15:sqref>
                        </c15:formulaRef>
                      </c:ext>
                    </c:extLst>
                    <c:strCache>
                      <c:ptCount val="5"/>
                      <c:pt idx="0">
                        <c:v>Paesi Scandinavi</c:v>
                      </c:pt>
                      <c:pt idx="1">
                        <c:v>Paesi Frugali</c:v>
                      </c:pt>
                      <c:pt idx="2">
                        <c:v>Paesi Est Europa</c:v>
                      </c:pt>
                      <c:pt idx="3">
                        <c:v>Paesi Asiatici</c:v>
                      </c:pt>
                      <c:pt idx="4">
                        <c:v>Paesi Oceanici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Zona-Paese'!$X$4:$X$27</c15:sqref>
                        </c15:fullRef>
                        <c15:formulaRef>
                          <c15:sqref>('Analisi per Zona-Paese'!$X$4,'Analisi per Zona-Paese'!$X$10,'Analisi per Zona-Paese'!$X$16,'Analisi per Zona-Paese'!$X$21,'Analisi per Zona-Paese'!$X$25)</c15:sqref>
                        </c15:formulaRef>
                      </c:ext>
                    </c:extLst>
                    <c:numCache>
                      <c:formatCode>0.0</c:formatCode>
                      <c:ptCount val="5"/>
                      <c:pt idx="0">
                        <c:v>34.982456140350877</c:v>
                      </c:pt>
                      <c:pt idx="1">
                        <c:v>47.361111111111114</c:v>
                      </c:pt>
                      <c:pt idx="2">
                        <c:v>36.823529411764703</c:v>
                      </c:pt>
                      <c:pt idx="3">
                        <c:v>102.69444444444444</c:v>
                      </c:pt>
                      <c:pt idx="4">
                        <c:v>36.384615384615387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C59-4241-8FD7-D5B21A62726F}"/>
                  </c:ext>
                </c:extLst>
              </c15:ser>
            </c15:filteredBarSeries>
          </c:ext>
        </c:extLst>
      </c:barChart>
      <c:catAx>
        <c:axId val="351441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Area Geografica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439888"/>
        <c:crosses val="autoZero"/>
        <c:auto val="1"/>
        <c:lblAlgn val="ctr"/>
        <c:lblOffset val="100"/>
        <c:noMultiLvlLbl val="0"/>
      </c:catAx>
      <c:valAx>
        <c:axId val="35143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#Brevetti</a:t>
                </a:r>
                <a:r>
                  <a:rPr lang="it-IT" baseline="0"/>
                  <a:t> registrati</a:t>
                </a:r>
                <a:endParaRPr lang="it-I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441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#Brevetti per Nazione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9"/>
          <c:order val="19"/>
          <c:tx>
            <c:strRef>
              <c:f>'Analisi per Zona-Paese'!$V$2:$V$4</c:f>
              <c:strCache>
                <c:ptCount val="3"/>
                <c:pt idx="0">
                  <c:v>BREVETTI</c:v>
                </c:pt>
                <c:pt idx="1">
                  <c:v>#Brevetti</c:v>
                </c:pt>
                <c:pt idx="2">
                  <c:v>1994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'Analisi per Zona-Paese'!$A$5:$B$29</c15:sqref>
                  </c15:fullRef>
                  <c15:levelRef>
                    <c15:sqref>'Analisi per Zona-Paese'!$B$5:$B$29</c15:sqref>
                  </c15:levelRef>
                </c:ext>
              </c:extLst>
              <c:f>('Analisi per Zona-Paese'!$B$5:$B$9,'Analisi per Zona-Paese'!$B$11:$B$15,'Analisi per Zona-Paese'!$B$17:$B$20,'Analisi per Zona-Paese'!$B$22:$B$24,'Analisi per Zona-Paese'!$B$26:$B$27)</c:f>
              <c:strCache>
                <c:ptCount val="19"/>
                <c:pt idx="0">
                  <c:v>Svezia</c:v>
                </c:pt>
                <c:pt idx="1">
                  <c:v>Norvegia</c:v>
                </c:pt>
                <c:pt idx="2">
                  <c:v>Finlandia </c:v>
                </c:pt>
                <c:pt idx="3">
                  <c:v>Danimarca</c:v>
                </c:pt>
                <c:pt idx="5">
                  <c:v>Paesi Bassi</c:v>
                </c:pt>
                <c:pt idx="6">
                  <c:v>Austria</c:v>
                </c:pt>
                <c:pt idx="7">
                  <c:v>Lituania</c:v>
                </c:pt>
                <c:pt idx="8">
                  <c:v>Estonia</c:v>
                </c:pt>
                <c:pt idx="10">
                  <c:v>Polonia</c:v>
                </c:pt>
                <c:pt idx="11">
                  <c:v>Rep. Ceca</c:v>
                </c:pt>
                <c:pt idx="12">
                  <c:v>Grecia</c:v>
                </c:pt>
                <c:pt idx="14">
                  <c:v>Cina</c:v>
                </c:pt>
                <c:pt idx="15">
                  <c:v>Giappone</c:v>
                </c:pt>
                <c:pt idx="17">
                  <c:v>Australia</c:v>
                </c:pt>
                <c:pt idx="18">
                  <c:v>Nuova Zelanda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'Analisi per Zona-Paese'!$V$5:$V$29</c15:sqref>
                  </c15:fullRef>
                </c:ext>
              </c:extLst>
              <c:f>('Analisi per Zona-Paese'!$V$5:$V$9,'Analisi per Zona-Paese'!$V$11:$V$15,'Analisi per Zona-Paese'!$V$17:$V$20,'Analisi per Zona-Paese'!$V$22:$V$24,'Analisi per Zona-Paese'!$V$26:$V$27)</c:f>
              <c:numCache>
                <c:formatCode>General</c:formatCode>
                <c:ptCount val="19"/>
                <c:pt idx="0">
                  <c:v>591</c:v>
                </c:pt>
                <c:pt idx="1">
                  <c:v>417</c:v>
                </c:pt>
                <c:pt idx="2">
                  <c:v>943</c:v>
                </c:pt>
                <c:pt idx="3">
                  <c:v>43</c:v>
                </c:pt>
                <c:pt idx="5">
                  <c:v>540</c:v>
                </c:pt>
                <c:pt idx="6">
                  <c:v>1080</c:v>
                </c:pt>
                <c:pt idx="7">
                  <c:v>71</c:v>
                </c:pt>
                <c:pt idx="8">
                  <c:v>14</c:v>
                </c:pt>
                <c:pt idx="10">
                  <c:v>128</c:v>
                </c:pt>
                <c:pt idx="11">
                  <c:v>487</c:v>
                </c:pt>
                <c:pt idx="12">
                  <c:v>11</c:v>
                </c:pt>
                <c:pt idx="14">
                  <c:v>1782</c:v>
                </c:pt>
                <c:pt idx="15">
                  <c:v>1915</c:v>
                </c:pt>
                <c:pt idx="17">
                  <c:v>461</c:v>
                </c:pt>
                <c:pt idx="1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BF6D-4CCF-9EC5-1D872765601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53172960"/>
        <c:axId val="353178056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'Analisi per Zona-Paese'!$C$2:$C$4</c15:sqref>
                        </c15:formulaRef>
                      </c:ext>
                    </c:extLst>
                    <c:strCache>
                      <c:ptCount val="3"/>
                      <c:pt idx="0">
                        <c:v>ANALISI GEOGRAFICA</c:v>
                      </c:pt>
                      <c:pt idx="1">
                        <c:v>#Aziende</c:v>
                      </c:pt>
                      <c:pt idx="2">
                        <c:v>68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'Analisi per Zona-Paese'!$C$5:$C$29</c15:sqref>
                        </c15:fullRef>
                        <c15:formulaRef>
                          <c15:sqref>('Analisi per Zona-Paese'!$C$5:$C$9,'Analisi per Zona-Paese'!$C$11:$C$15,'Analisi per Zona-Paese'!$C$17:$C$20,'Analisi per Zona-Paese'!$C$22:$C$24,'Analisi per Zona-Paese'!$C$26:$C$27)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28</c:v>
                      </c:pt>
                      <c:pt idx="1">
                        <c:v>14</c:v>
                      </c:pt>
                      <c:pt idx="2">
                        <c:v>22</c:v>
                      </c:pt>
                      <c:pt idx="3">
                        <c:v>4</c:v>
                      </c:pt>
                      <c:pt idx="5">
                        <c:v>20</c:v>
                      </c:pt>
                      <c:pt idx="6">
                        <c:v>16</c:v>
                      </c:pt>
                      <c:pt idx="7">
                        <c:v>3</c:v>
                      </c:pt>
                      <c:pt idx="8">
                        <c:v>3</c:v>
                      </c:pt>
                      <c:pt idx="10">
                        <c:v>6</c:v>
                      </c:pt>
                      <c:pt idx="11">
                        <c:v>9</c:v>
                      </c:pt>
                      <c:pt idx="12">
                        <c:v>3</c:v>
                      </c:pt>
                      <c:pt idx="14">
                        <c:v>20</c:v>
                      </c:pt>
                      <c:pt idx="15">
                        <c:v>42</c:v>
                      </c:pt>
                      <c:pt idx="17">
                        <c:v>15</c:v>
                      </c:pt>
                      <c:pt idx="18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BF6D-4CCF-9EC5-1D8727656016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Zona-Paese'!$D$2:$D$4</c15:sqref>
                        </c15:formulaRef>
                      </c:ext>
                    </c:extLst>
                    <c:strCache>
                      <c:ptCount val="3"/>
                      <c:pt idx="0">
                        <c:v>ANALISI GEOGRAFICA</c:v>
                      </c:pt>
                      <c:pt idx="1">
                        <c:v>%Totale</c:v>
                      </c:pt>
                      <c:pt idx="2">
                        <c:v>33,0%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Zona-Paese'!$D$5:$D$29</c15:sqref>
                        </c15:fullRef>
                        <c15:formulaRef>
                          <c15:sqref>('Analisi per Zona-Paese'!$D$5:$D$9,'Analisi per Zona-Paese'!$D$11:$D$15,'Analisi per Zona-Paese'!$D$17:$D$20,'Analisi per Zona-Paese'!$D$22:$D$24,'Analisi per Zona-Paese'!$D$26:$D$27)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0.13592233009708737</c:v>
                      </c:pt>
                      <c:pt idx="1">
                        <c:v>6.7961165048543687E-2</c:v>
                      </c:pt>
                      <c:pt idx="2">
                        <c:v>0.10679611650485436</c:v>
                      </c:pt>
                      <c:pt idx="3">
                        <c:v>1.9417475728155338E-2</c:v>
                      </c:pt>
                      <c:pt idx="5">
                        <c:v>9.7087378640776698E-2</c:v>
                      </c:pt>
                      <c:pt idx="6">
                        <c:v>7.7669902912621352E-2</c:v>
                      </c:pt>
                      <c:pt idx="7">
                        <c:v>1.4563106796116505E-2</c:v>
                      </c:pt>
                      <c:pt idx="8">
                        <c:v>1.4563106796116505E-2</c:v>
                      </c:pt>
                      <c:pt idx="10">
                        <c:v>2.9126213592233011E-2</c:v>
                      </c:pt>
                      <c:pt idx="11">
                        <c:v>4.3689320388349516E-2</c:v>
                      </c:pt>
                      <c:pt idx="12">
                        <c:v>1.4563106796116505E-2</c:v>
                      </c:pt>
                      <c:pt idx="14">
                        <c:v>9.7087378640776698E-2</c:v>
                      </c:pt>
                      <c:pt idx="15">
                        <c:v>0.20388349514563106</c:v>
                      </c:pt>
                      <c:pt idx="17">
                        <c:v>7.281553398058252E-2</c:v>
                      </c:pt>
                      <c:pt idx="18">
                        <c:v>4.8543689320388345E-3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6D-4CCF-9EC5-1D872765601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Zona-Paese'!$E$2:$E$4</c15:sqref>
                        </c15:formulaRef>
                      </c:ext>
                    </c:extLst>
                    <c:strCache>
                      <c:ptCount val="3"/>
                      <c:pt idx="0">
                        <c:v>ANALISI GEOGRAFICA</c:v>
                      </c:pt>
                      <c:pt idx="1">
                        <c:v>%Area</c:v>
                      </c:pt>
                      <c:pt idx="2">
                        <c:v>100,0%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Zona-Paese'!$E$5:$E$29</c15:sqref>
                        </c15:fullRef>
                        <c15:formulaRef>
                          <c15:sqref>('Analisi per Zona-Paese'!$E$5:$E$9,'Analisi per Zona-Paese'!$E$11:$E$15,'Analisi per Zona-Paese'!$E$17:$E$20,'Analisi per Zona-Paese'!$E$22:$E$24,'Analisi per Zona-Paese'!$E$26:$E$27)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0.41176470588235292</c:v>
                      </c:pt>
                      <c:pt idx="1">
                        <c:v>0.20588235294117646</c:v>
                      </c:pt>
                      <c:pt idx="2">
                        <c:v>0.3235294117647059</c:v>
                      </c:pt>
                      <c:pt idx="3">
                        <c:v>5.8823529411764705E-2</c:v>
                      </c:pt>
                      <c:pt idx="5">
                        <c:v>0.47619047619047616</c:v>
                      </c:pt>
                      <c:pt idx="6">
                        <c:v>0.38095238095238093</c:v>
                      </c:pt>
                      <c:pt idx="7">
                        <c:v>7.1428571428571425E-2</c:v>
                      </c:pt>
                      <c:pt idx="8">
                        <c:v>7.1428571428571425E-2</c:v>
                      </c:pt>
                      <c:pt idx="10">
                        <c:v>0.33333333333333331</c:v>
                      </c:pt>
                      <c:pt idx="11">
                        <c:v>0.5</c:v>
                      </c:pt>
                      <c:pt idx="12">
                        <c:v>0.16666666666666666</c:v>
                      </c:pt>
                      <c:pt idx="14">
                        <c:v>0.32258064516129031</c:v>
                      </c:pt>
                      <c:pt idx="15">
                        <c:v>0.67741935483870963</c:v>
                      </c:pt>
                      <c:pt idx="17">
                        <c:v>0.9375</c:v>
                      </c:pt>
                      <c:pt idx="18">
                        <c:v>6.25E-2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F6D-4CCF-9EC5-1D872765601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Zona-Paese'!$F$2:$F$4</c15:sqref>
                        </c15:formulaRef>
                      </c:ext>
                    </c:extLst>
                    <c:strCache>
                      <c:ptCount val="3"/>
                      <c:pt idx="0">
                        <c:v>ANAGRAFICA</c:v>
                      </c:pt>
                      <c:pt idx="1">
                        <c:v>Età media</c:v>
                      </c:pt>
                      <c:pt idx="2">
                        <c:v>19,8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Zona-Paese'!$F$5:$F$29</c15:sqref>
                        </c15:fullRef>
                        <c15:formulaRef>
                          <c15:sqref>('Analisi per Zona-Paese'!$F$5:$F$9,'Analisi per Zona-Paese'!$F$11:$F$15,'Analisi per Zona-Paese'!$F$17:$F$20,'Analisi per Zona-Paese'!$F$22:$F$24,'Analisi per Zona-Paese'!$F$26:$F$27)</c15:sqref>
                        </c15:formulaRef>
                      </c:ext>
                    </c:extLst>
                    <c:numCache>
                      <c:formatCode>0.0</c:formatCode>
                      <c:ptCount val="19"/>
                      <c:pt idx="0">
                        <c:v>14.083333333333334</c:v>
                      </c:pt>
                      <c:pt idx="1">
                        <c:v>38.6</c:v>
                      </c:pt>
                      <c:pt idx="2">
                        <c:v>19.315789473684209</c:v>
                      </c:pt>
                      <c:pt idx="3">
                        <c:v>9.5</c:v>
                      </c:pt>
                      <c:pt idx="5">
                        <c:v>23.75</c:v>
                      </c:pt>
                      <c:pt idx="6">
                        <c:v>13.466666666666667</c:v>
                      </c:pt>
                      <c:pt idx="7">
                        <c:v>11.5</c:v>
                      </c:pt>
                      <c:pt idx="8">
                        <c:v>9.3333333333333339</c:v>
                      </c:pt>
                      <c:pt idx="10">
                        <c:v>8.1666666666666661</c:v>
                      </c:pt>
                      <c:pt idx="11">
                        <c:v>29.555555555555557</c:v>
                      </c:pt>
                      <c:pt idx="12">
                        <c:v>17</c:v>
                      </c:pt>
                      <c:pt idx="14">
                        <c:v>23.5</c:v>
                      </c:pt>
                      <c:pt idx="15">
                        <c:v>42.454545454545453</c:v>
                      </c:pt>
                      <c:pt idx="17">
                        <c:v>15.363636363636363</c:v>
                      </c:pt>
                      <c:pt idx="18">
                        <c:v>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6D-4CCF-9EC5-1D872765601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Zona-Paese'!$G$2:$G$4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#Escluse</c:v>
                      </c:pt>
                      <c:pt idx="2">
                        <c:v>11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Zona-Paese'!$G$5:$G$29</c15:sqref>
                        </c15:fullRef>
                        <c15:formulaRef>
                          <c15:sqref>('Analisi per Zona-Paese'!$G$5:$G$9,'Analisi per Zona-Paese'!$G$11:$G$15,'Analisi per Zona-Paese'!$G$17:$G$20,'Analisi per Zona-Paese'!$G$22:$G$24,'Analisi per Zona-Paese'!$G$26:$G$27)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4</c:v>
                      </c:pt>
                      <c:pt idx="1">
                        <c:v>4</c:v>
                      </c:pt>
                      <c:pt idx="2">
                        <c:v>3</c:v>
                      </c:pt>
                      <c:pt idx="3">
                        <c:v>0</c:v>
                      </c:pt>
                      <c:pt idx="5">
                        <c:v>4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1</c:v>
                      </c:pt>
                      <c:pt idx="14">
                        <c:v>6</c:v>
                      </c:pt>
                      <c:pt idx="15">
                        <c:v>20</c:v>
                      </c:pt>
                      <c:pt idx="17">
                        <c:v>3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F6D-4CCF-9EC5-1D872765601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Zona-Paese'!$H$2:$H$4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%suPaese</c:v>
                      </c:pt>
                      <c:pt idx="2">
                        <c:v>16,2%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Zona-Paese'!$H$5:$H$29</c15:sqref>
                        </c15:fullRef>
                        <c15:formulaRef>
                          <c15:sqref>('Analisi per Zona-Paese'!$H$5:$H$9,'Analisi per Zona-Paese'!$H$11:$H$15,'Analisi per Zona-Paese'!$H$17:$H$20,'Analisi per Zona-Paese'!$H$22:$H$24,'Analisi per Zona-Paese'!$H$26:$H$27)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0.14285714285714285</c:v>
                      </c:pt>
                      <c:pt idx="1">
                        <c:v>0.2857142857142857</c:v>
                      </c:pt>
                      <c:pt idx="2">
                        <c:v>0.13636363636363635</c:v>
                      </c:pt>
                      <c:pt idx="3">
                        <c:v>0</c:v>
                      </c:pt>
                      <c:pt idx="5">
                        <c:v>0.2</c:v>
                      </c:pt>
                      <c:pt idx="6">
                        <c:v>6.25E-2</c:v>
                      </c:pt>
                      <c:pt idx="7">
                        <c:v>0.33333333333333331</c:v>
                      </c:pt>
                      <c:pt idx="8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0.33333333333333331</c:v>
                      </c:pt>
                      <c:pt idx="14">
                        <c:v>0.3</c:v>
                      </c:pt>
                      <c:pt idx="15">
                        <c:v>0.47619047619047616</c:v>
                      </c:pt>
                      <c:pt idx="17">
                        <c:v>0.2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F6D-4CCF-9EC5-1D8727656016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Zona-Paese'!$I$2:$I$4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big_cor</c:v>
                      </c:pt>
                      <c:pt idx="2">
                        <c:v>4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Zona-Paese'!$I$5:$I$29</c15:sqref>
                        </c15:fullRef>
                        <c15:formulaRef>
                          <c15:sqref>('Analisi per Zona-Paese'!$I$5:$I$9,'Analisi per Zona-Paese'!$I$11:$I$15,'Analisi per Zona-Paese'!$I$17:$I$20,'Analisi per Zona-Paese'!$I$22:$I$24,'Analisi per Zona-Paese'!$I$26:$I$27)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</c:v>
                      </c:pt>
                      <c:pt idx="1">
                        <c:v>0</c:v>
                      </c:pt>
                      <c:pt idx="2">
                        <c:v>2</c:v>
                      </c:pt>
                      <c:pt idx="3">
                        <c:v>0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0</c:v>
                      </c:pt>
                      <c:pt idx="8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4">
                        <c:v>3</c:v>
                      </c:pt>
                      <c:pt idx="15">
                        <c:v>13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F6D-4CCF-9EC5-1D872765601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Zona-Paese'!$J$2:$J$4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disamb</c:v>
                      </c:pt>
                      <c:pt idx="2">
                        <c:v>3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Zona-Paese'!$J$5:$J$29</c15:sqref>
                        </c15:fullRef>
                        <c15:formulaRef>
                          <c15:sqref>('Analisi per Zona-Paese'!$J$5:$J$9,'Analisi per Zona-Paese'!$J$11:$J$15,'Analisi per Zona-Paese'!$J$17:$J$20,'Analisi per Zona-Paese'!$J$22:$J$24,'Analisi per Zona-Paese'!$J$26:$J$27)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2</c:v>
                      </c:pt>
                      <c:pt idx="2">
                        <c:v>1</c:v>
                      </c:pt>
                      <c:pt idx="3">
                        <c:v>0</c:v>
                      </c:pt>
                      <c:pt idx="5">
                        <c:v>2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4">
                        <c:v>3</c:v>
                      </c:pt>
                      <c:pt idx="15">
                        <c:v>3</c:v>
                      </c:pt>
                      <c:pt idx="17">
                        <c:v>1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F6D-4CCF-9EC5-1D872765601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Zona-Paese'!$K$2:$K$4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diff_cor_biz</c:v>
                      </c:pt>
                      <c:pt idx="2">
                        <c:v>2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Zona-Paese'!$K$5:$K$29</c15:sqref>
                        </c15:fullRef>
                        <c15:formulaRef>
                          <c15:sqref>('Analisi per Zona-Paese'!$K$5:$K$9,'Analisi per Zona-Paese'!$K$11:$K$15,'Analisi per Zona-Paese'!$K$17:$K$20,'Analisi per Zona-Paese'!$K$22:$K$24,'Analisi per Zona-Paese'!$K$26:$K$27)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0</c:v>
                      </c:pt>
                      <c:pt idx="5">
                        <c:v>1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4">
                        <c:v>0</c:v>
                      </c:pt>
                      <c:pt idx="15">
                        <c:v>4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F6D-4CCF-9EC5-1D8727656016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Zona-Paese'!$L$2:$L$4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#Nopat</c:v>
                      </c:pt>
                      <c:pt idx="2">
                        <c:v>2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Zona-Paese'!$L$5:$L$29</c15:sqref>
                        </c15:fullRef>
                        <c15:formulaRef>
                          <c15:sqref>('Analisi per Zona-Paese'!$L$5:$L$9,'Analisi per Zona-Paese'!$L$11:$L$15,'Analisi per Zona-Paese'!$L$17:$L$20,'Analisi per Zona-Paese'!$L$22:$L$24,'Analisi per Zona-Paese'!$L$26:$L$27)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</c:v>
                      </c:pt>
                      <c:pt idx="8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1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7">
                        <c:v>2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F6D-4CCF-9EC5-1D8727656016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Zona-Paese'!$M$2:$M$4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#Aziende in esame</c:v>
                      </c:pt>
                      <c:pt idx="2">
                        <c:v>57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Zona-Paese'!$M$5:$M$29</c15:sqref>
                        </c15:fullRef>
                        <c15:formulaRef>
                          <c15:sqref>('Analisi per Zona-Paese'!$M$5:$M$9,'Analisi per Zona-Paese'!$M$11:$M$15,'Analisi per Zona-Paese'!$M$17:$M$20,'Analisi per Zona-Paese'!$M$22:$M$24,'Analisi per Zona-Paese'!$M$26:$M$27)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24</c:v>
                      </c:pt>
                      <c:pt idx="1">
                        <c:v>10</c:v>
                      </c:pt>
                      <c:pt idx="2">
                        <c:v>19</c:v>
                      </c:pt>
                      <c:pt idx="3">
                        <c:v>4</c:v>
                      </c:pt>
                      <c:pt idx="5">
                        <c:v>16</c:v>
                      </c:pt>
                      <c:pt idx="6">
                        <c:v>15</c:v>
                      </c:pt>
                      <c:pt idx="7">
                        <c:v>2</c:v>
                      </c:pt>
                      <c:pt idx="8">
                        <c:v>3</c:v>
                      </c:pt>
                      <c:pt idx="10">
                        <c:v>6</c:v>
                      </c:pt>
                      <c:pt idx="11">
                        <c:v>9</c:v>
                      </c:pt>
                      <c:pt idx="12">
                        <c:v>2</c:v>
                      </c:pt>
                      <c:pt idx="14">
                        <c:v>14</c:v>
                      </c:pt>
                      <c:pt idx="15">
                        <c:v>22</c:v>
                      </c:pt>
                      <c:pt idx="17">
                        <c:v>12</c:v>
                      </c:pt>
                      <c:pt idx="18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F6D-4CCF-9EC5-1D872765601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Zona-Paese'!$N$2:$N$4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 %Totale</c:v>
                      </c:pt>
                      <c:pt idx="2">
                        <c:v>35,8%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Zona-Paese'!$N$5:$N$29</c15:sqref>
                        </c15:fullRef>
                        <c15:formulaRef>
                          <c15:sqref>('Analisi per Zona-Paese'!$N$5:$N$9,'Analisi per Zona-Paese'!$N$11:$N$15,'Analisi per Zona-Paese'!$N$17:$N$20,'Analisi per Zona-Paese'!$N$22:$N$24,'Analisi per Zona-Paese'!$N$26:$N$27)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0.15094339622641509</c:v>
                      </c:pt>
                      <c:pt idx="1">
                        <c:v>6.2893081761006289E-2</c:v>
                      </c:pt>
                      <c:pt idx="2">
                        <c:v>0.11949685534591195</c:v>
                      </c:pt>
                      <c:pt idx="3">
                        <c:v>2.5157232704402517E-2</c:v>
                      </c:pt>
                      <c:pt idx="5">
                        <c:v>0.10062893081761007</c:v>
                      </c:pt>
                      <c:pt idx="6">
                        <c:v>9.4339622641509441E-2</c:v>
                      </c:pt>
                      <c:pt idx="7">
                        <c:v>1.2578616352201259E-2</c:v>
                      </c:pt>
                      <c:pt idx="8">
                        <c:v>1.8867924528301886E-2</c:v>
                      </c:pt>
                      <c:pt idx="10">
                        <c:v>3.7735849056603772E-2</c:v>
                      </c:pt>
                      <c:pt idx="11">
                        <c:v>5.6603773584905662E-2</c:v>
                      </c:pt>
                      <c:pt idx="12">
                        <c:v>1.2578616352201259E-2</c:v>
                      </c:pt>
                      <c:pt idx="14">
                        <c:v>8.8050314465408799E-2</c:v>
                      </c:pt>
                      <c:pt idx="15">
                        <c:v>0.13836477987421383</c:v>
                      </c:pt>
                      <c:pt idx="17">
                        <c:v>7.5471698113207544E-2</c:v>
                      </c:pt>
                      <c:pt idx="18">
                        <c:v>6.2893081761006293E-3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F6D-4CCF-9EC5-1D8727656016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Zona-Paese'!$O$2:$O$4</c15:sqref>
                        </c15:formulaRef>
                      </c:ext>
                    </c:extLst>
                    <c:strCache>
                      <c:ptCount val="3"/>
                      <c:pt idx="0">
                        <c:v>IDENTIFICAZIONE EXCLUDED</c:v>
                      </c:pt>
                      <c:pt idx="1">
                        <c:v>%Area</c:v>
                      </c:pt>
                      <c:pt idx="2">
                        <c:v>100,0%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Zona-Paese'!$O$5:$O$29</c15:sqref>
                        </c15:fullRef>
                        <c15:formulaRef>
                          <c15:sqref>('Analisi per Zona-Paese'!$O$5:$O$9,'Analisi per Zona-Paese'!$O$11:$O$15,'Analisi per Zona-Paese'!$O$17:$O$20,'Analisi per Zona-Paese'!$O$22:$O$24,'Analisi per Zona-Paese'!$O$26:$O$27)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0.42105263157894735</c:v>
                      </c:pt>
                      <c:pt idx="1">
                        <c:v>0.17543859649122806</c:v>
                      </c:pt>
                      <c:pt idx="2">
                        <c:v>0.33333333333333331</c:v>
                      </c:pt>
                      <c:pt idx="3">
                        <c:v>7.0175438596491224E-2</c:v>
                      </c:pt>
                      <c:pt idx="5">
                        <c:v>0.44444444444444442</c:v>
                      </c:pt>
                      <c:pt idx="6">
                        <c:v>0.41666666666666669</c:v>
                      </c:pt>
                      <c:pt idx="7">
                        <c:v>5.5555555555555552E-2</c:v>
                      </c:pt>
                      <c:pt idx="8">
                        <c:v>8.3333333333333329E-2</c:v>
                      </c:pt>
                      <c:pt idx="10">
                        <c:v>0.35294117647058826</c:v>
                      </c:pt>
                      <c:pt idx="11">
                        <c:v>0.52941176470588236</c:v>
                      </c:pt>
                      <c:pt idx="12">
                        <c:v>0.11764705882352941</c:v>
                      </c:pt>
                      <c:pt idx="14">
                        <c:v>0.3888888888888889</c:v>
                      </c:pt>
                      <c:pt idx="15">
                        <c:v>0.61111111111111116</c:v>
                      </c:pt>
                      <c:pt idx="17">
                        <c:v>0.92307692307692313</c:v>
                      </c:pt>
                      <c:pt idx="18">
                        <c:v>7.6923076923076927E-2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F6D-4CCF-9EC5-1D8727656016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Zona-Paese'!$P$2:$P$4</c15:sqref>
                        </c15:formulaRef>
                      </c:ext>
                    </c:extLst>
                    <c:strCache>
                      <c:ptCount val="3"/>
                      <c:pt idx="0">
                        <c:v>TIPO DI AZIENDA</c:v>
                      </c:pt>
                      <c:pt idx="1">
                        <c:v>US</c:v>
                      </c:pt>
                      <c:pt idx="2">
                        <c:v>25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Zona-Paese'!$P$5:$P$29</c15:sqref>
                        </c15:fullRef>
                        <c15:formulaRef>
                          <c15:sqref>('Analisi per Zona-Paese'!$P$5:$P$9,'Analisi per Zona-Paese'!$P$11:$P$15,'Analisi per Zona-Paese'!$P$17:$P$20,'Analisi per Zona-Paese'!$P$22:$P$24,'Analisi per Zona-Paese'!$P$26:$P$27)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12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</c:v>
                      </c:pt>
                      <c:pt idx="5">
                        <c:v>6</c:v>
                      </c:pt>
                      <c:pt idx="6">
                        <c:v>6</c:v>
                      </c:pt>
                      <c:pt idx="7">
                        <c:v>0</c:v>
                      </c:pt>
                      <c:pt idx="8">
                        <c:v>0</c:v>
                      </c:pt>
                      <c:pt idx="10">
                        <c:v>3</c:v>
                      </c:pt>
                      <c:pt idx="11">
                        <c:v>2</c:v>
                      </c:pt>
                      <c:pt idx="12">
                        <c:v>1</c:v>
                      </c:pt>
                      <c:pt idx="14">
                        <c:v>5</c:v>
                      </c:pt>
                      <c:pt idx="15">
                        <c:v>9</c:v>
                      </c:pt>
                      <c:pt idx="17">
                        <c:v>5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F6D-4CCF-9EC5-1D8727656016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Zona-Paese'!$Q$2:$Q$4</c15:sqref>
                        </c15:formulaRef>
                      </c:ext>
                    </c:extLst>
                    <c:strCache>
                      <c:ptCount val="3"/>
                      <c:pt idx="0">
                        <c:v>TIPO DI AZIENDA</c:v>
                      </c:pt>
                      <c:pt idx="1">
                        <c:v>DS</c:v>
                      </c:pt>
                      <c:pt idx="2">
                        <c:v>28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Zona-Paese'!$Q$5:$Q$29</c15:sqref>
                        </c15:fullRef>
                        <c15:formulaRef>
                          <c15:sqref>('Analisi per Zona-Paese'!$Q$5:$Q$9,'Analisi per Zona-Paese'!$Q$11:$Q$15,'Analisi per Zona-Paese'!$Q$17:$Q$20,'Analisi per Zona-Paese'!$Q$22:$Q$24,'Analisi per Zona-Paese'!$Q$26:$Q$27)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12</c:v>
                      </c:pt>
                      <c:pt idx="1">
                        <c:v>4</c:v>
                      </c:pt>
                      <c:pt idx="2">
                        <c:v>10</c:v>
                      </c:pt>
                      <c:pt idx="3">
                        <c:v>2</c:v>
                      </c:pt>
                      <c:pt idx="5">
                        <c:v>10</c:v>
                      </c:pt>
                      <c:pt idx="6">
                        <c:v>9</c:v>
                      </c:pt>
                      <c:pt idx="7">
                        <c:v>2</c:v>
                      </c:pt>
                      <c:pt idx="8">
                        <c:v>2</c:v>
                      </c:pt>
                      <c:pt idx="10">
                        <c:v>2</c:v>
                      </c:pt>
                      <c:pt idx="11">
                        <c:v>6</c:v>
                      </c:pt>
                      <c:pt idx="12">
                        <c:v>1</c:v>
                      </c:pt>
                      <c:pt idx="14">
                        <c:v>8</c:v>
                      </c:pt>
                      <c:pt idx="15">
                        <c:v>11</c:v>
                      </c:pt>
                      <c:pt idx="17">
                        <c:v>7</c:v>
                      </c:pt>
                      <c:pt idx="18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F6D-4CCF-9EC5-1D8727656016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Zona-Paese'!$R$2:$R$4</c15:sqref>
                        </c15:formulaRef>
                      </c:ext>
                    </c:extLst>
                    <c:strCache>
                      <c:ptCount val="3"/>
                      <c:pt idx="0">
                        <c:v>TIPO DI AZIENDA</c:v>
                      </c:pt>
                      <c:pt idx="1">
                        <c:v>US&amp;DS</c:v>
                      </c:pt>
                      <c:pt idx="2">
                        <c:v>4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Zona-Paese'!$R$5:$R$29</c15:sqref>
                        </c15:fullRef>
                        <c15:formulaRef>
                          <c15:sqref>('Analisi per Zona-Paese'!$R$5:$R$9,'Analisi per Zona-Paese'!$R$11:$R$15,'Analisi per Zona-Paese'!$R$17:$R$20,'Analisi per Zona-Paese'!$R$22:$R$24,'Analisi per Zona-Paese'!$R$26:$R$27)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0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F6D-4CCF-9EC5-1D8727656016}"/>
                  </c:ext>
                </c:extLst>
              </c15:ser>
            </c15:filteredBarSeries>
            <c15:filteredBa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Zona-Paese'!$S$2:$S$4</c15:sqref>
                        </c15:formulaRef>
                      </c:ext>
                    </c:extLst>
                    <c:strCache>
                      <c:ptCount val="3"/>
                      <c:pt idx="0">
                        <c:v>TIPO DI AZIENDA</c:v>
                      </c:pt>
                      <c:pt idx="1">
                        <c:v>%US</c:v>
                      </c:pt>
                      <c:pt idx="2">
                        <c:v>43,9%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Zona-Paese'!$S$5:$S$29</c15:sqref>
                        </c15:fullRef>
                        <c15:formulaRef>
                          <c15:sqref>('Analisi per Zona-Paese'!$S$5:$S$9,'Analisi per Zona-Paese'!$S$11:$S$15,'Analisi per Zona-Paese'!$S$17:$S$20,'Analisi per Zona-Paese'!$S$22:$S$24,'Analisi per Zona-Paese'!$S$26:$S$27)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0.5</c:v>
                      </c:pt>
                      <c:pt idx="1">
                        <c:v>0.5</c:v>
                      </c:pt>
                      <c:pt idx="2">
                        <c:v>0.36842105263157893</c:v>
                      </c:pt>
                      <c:pt idx="3">
                        <c:v>0.25</c:v>
                      </c:pt>
                      <c:pt idx="5">
                        <c:v>0.375</c:v>
                      </c:pt>
                      <c:pt idx="6">
                        <c:v>0.4</c:v>
                      </c:pt>
                      <c:pt idx="7">
                        <c:v>0</c:v>
                      </c:pt>
                      <c:pt idx="8">
                        <c:v>0</c:v>
                      </c:pt>
                      <c:pt idx="10">
                        <c:v>0.5</c:v>
                      </c:pt>
                      <c:pt idx="11">
                        <c:v>0.22222222222222221</c:v>
                      </c:pt>
                      <c:pt idx="12">
                        <c:v>0.5</c:v>
                      </c:pt>
                      <c:pt idx="14">
                        <c:v>0.35714285714285715</c:v>
                      </c:pt>
                      <c:pt idx="15">
                        <c:v>0.40909090909090912</c:v>
                      </c:pt>
                      <c:pt idx="17">
                        <c:v>0.41666666666666669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F6D-4CCF-9EC5-1D8727656016}"/>
                  </c:ext>
                </c:extLst>
              </c15:ser>
            </c15:filteredBarSeries>
            <c15:filteredBa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Zona-Paese'!$T$2:$T$4</c15:sqref>
                        </c15:formulaRef>
                      </c:ext>
                    </c:extLst>
                    <c:strCache>
                      <c:ptCount val="3"/>
                      <c:pt idx="0">
                        <c:v>TIPO DI AZIENDA</c:v>
                      </c:pt>
                      <c:pt idx="1">
                        <c:v>%DS</c:v>
                      </c:pt>
                      <c:pt idx="2">
                        <c:v>49,1%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Zona-Paese'!$T$5:$T$29</c15:sqref>
                        </c15:fullRef>
                        <c15:formulaRef>
                          <c15:sqref>('Analisi per Zona-Paese'!$T$5:$T$9,'Analisi per Zona-Paese'!$T$11:$T$15,'Analisi per Zona-Paese'!$T$17:$T$20,'Analisi per Zona-Paese'!$T$22:$T$24,'Analisi per Zona-Paese'!$T$26:$T$27)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0.5</c:v>
                      </c:pt>
                      <c:pt idx="1">
                        <c:v>0.4</c:v>
                      </c:pt>
                      <c:pt idx="2">
                        <c:v>0.52631578947368418</c:v>
                      </c:pt>
                      <c:pt idx="3">
                        <c:v>0.5</c:v>
                      </c:pt>
                      <c:pt idx="5">
                        <c:v>0.625</c:v>
                      </c:pt>
                      <c:pt idx="6">
                        <c:v>0.6</c:v>
                      </c:pt>
                      <c:pt idx="7">
                        <c:v>1</c:v>
                      </c:pt>
                      <c:pt idx="8">
                        <c:v>0.66666666666666663</c:v>
                      </c:pt>
                      <c:pt idx="10">
                        <c:v>0.33333333333333331</c:v>
                      </c:pt>
                      <c:pt idx="11">
                        <c:v>0.66666666666666663</c:v>
                      </c:pt>
                      <c:pt idx="12">
                        <c:v>0.5</c:v>
                      </c:pt>
                      <c:pt idx="14">
                        <c:v>0.5714285714285714</c:v>
                      </c:pt>
                      <c:pt idx="15">
                        <c:v>0.5</c:v>
                      </c:pt>
                      <c:pt idx="17">
                        <c:v>0.58333333333333337</c:v>
                      </c:pt>
                      <c:pt idx="18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F6D-4CCF-9EC5-1D8727656016}"/>
                  </c:ext>
                </c:extLst>
              </c15:ser>
            </c15:filteredBarSeries>
            <c15:filteredBa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Zona-Paese'!$U$2:$U$4</c15:sqref>
                        </c15:formulaRef>
                      </c:ext>
                    </c:extLst>
                    <c:strCache>
                      <c:ptCount val="3"/>
                      <c:pt idx="0">
                        <c:v>TIPO DI AZIENDA</c:v>
                      </c:pt>
                      <c:pt idx="1">
                        <c:v>%US&amp;DS</c:v>
                      </c:pt>
                      <c:pt idx="2">
                        <c:v>7,0%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Zona-Paese'!$U$5:$U$29</c15:sqref>
                        </c15:fullRef>
                        <c15:formulaRef>
                          <c15:sqref>('Analisi per Zona-Paese'!$U$5:$U$9,'Analisi per Zona-Paese'!$U$11:$U$15,'Analisi per Zona-Paese'!$U$17:$U$20,'Analisi per Zona-Paese'!$U$22:$U$24,'Analisi per Zona-Paese'!$U$26:$U$27)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0.10526315789473684</c:v>
                      </c:pt>
                      <c:pt idx="3">
                        <c:v>0.25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0.33333333333333331</c:v>
                      </c:pt>
                      <c:pt idx="10">
                        <c:v>0.16666666666666666</c:v>
                      </c:pt>
                      <c:pt idx="11">
                        <c:v>0.1111111111111111</c:v>
                      </c:pt>
                      <c:pt idx="12">
                        <c:v>0</c:v>
                      </c:pt>
                      <c:pt idx="14">
                        <c:v>7.1428571428571425E-2</c:v>
                      </c:pt>
                      <c:pt idx="15">
                        <c:v>9.0909090909090912E-2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F6D-4CCF-9EC5-1D8727656016}"/>
                  </c:ext>
                </c:extLst>
              </c15:ser>
            </c15:filteredBarSeries>
            <c15:filteredBa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Zona-Paese'!$W$2:$W$4</c15:sqref>
                        </c15:formulaRef>
                      </c:ext>
                    </c:extLst>
                    <c:strCache>
                      <c:ptCount val="3"/>
                      <c:pt idx="0">
                        <c:v>BREVETTI</c:v>
                      </c:pt>
                      <c:pt idx="1">
                        <c:v>%BrevArea</c:v>
                      </c:pt>
                      <c:pt idx="2">
                        <c:v>23,5%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Zona-Paese'!$W$5:$W$29</c15:sqref>
                        </c15:fullRef>
                        <c15:formulaRef>
                          <c15:sqref>('Analisi per Zona-Paese'!$W$5:$W$9,'Analisi per Zona-Paese'!$W$11:$W$15,'Analisi per Zona-Paese'!$W$17:$W$20,'Analisi per Zona-Paese'!$W$22:$W$24,'Analisi per Zona-Paese'!$W$26:$W$27)</c15:sqref>
                        </c15:formulaRef>
                      </c:ext>
                    </c:extLst>
                    <c:numCache>
                      <c:formatCode>0.0%</c:formatCode>
                      <c:ptCount val="19"/>
                      <c:pt idx="0">
                        <c:v>0.29638916750250754</c:v>
                      </c:pt>
                      <c:pt idx="1">
                        <c:v>0.20912738214643931</c:v>
                      </c:pt>
                      <c:pt idx="2">
                        <c:v>0.47291875626880642</c:v>
                      </c:pt>
                      <c:pt idx="3">
                        <c:v>2.156469408224674E-2</c:v>
                      </c:pt>
                      <c:pt idx="5">
                        <c:v>0.31671554252199413</c:v>
                      </c:pt>
                      <c:pt idx="6">
                        <c:v>0.63343108504398826</c:v>
                      </c:pt>
                      <c:pt idx="7">
                        <c:v>4.1642228739002932E-2</c:v>
                      </c:pt>
                      <c:pt idx="8">
                        <c:v>8.2111436950146627E-3</c:v>
                      </c:pt>
                      <c:pt idx="10">
                        <c:v>0.20447284345047922</c:v>
                      </c:pt>
                      <c:pt idx="11">
                        <c:v>0.77795527156549515</c:v>
                      </c:pt>
                      <c:pt idx="12">
                        <c:v>1.7571884984025558E-2</c:v>
                      </c:pt>
                      <c:pt idx="14">
                        <c:v>0.48201244252096292</c:v>
                      </c:pt>
                      <c:pt idx="15">
                        <c:v>0.51798755747903702</c:v>
                      </c:pt>
                      <c:pt idx="17">
                        <c:v>0.97463002114164909</c:v>
                      </c:pt>
                      <c:pt idx="18">
                        <c:v>2.5369978858350951E-2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F6D-4CCF-9EC5-1D8727656016}"/>
                  </c:ext>
                </c:extLst>
              </c15:ser>
            </c15:filteredBarSeries>
            <c15:filteredBa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'Analisi per Zona-Paese'!$X$2:$X$4</c15:sqref>
                        </c15:formulaRef>
                      </c:ext>
                    </c:extLst>
                    <c:strCache>
                      <c:ptCount val="3"/>
                      <c:pt idx="0">
                        <c:v>BREVETTI</c:v>
                      </c:pt>
                      <c:pt idx="1">
                        <c:v>Avg_Brev_Az</c:v>
                      </c:pt>
                      <c:pt idx="2">
                        <c:v>35,0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'Analisi per Zona-Paese'!$A$5:$B$29</c15:sqref>
                        </c15:fullRef>
                        <c15:levelRef>
                          <c15:sqref>'Analisi per Zona-Paese'!$B$5:$B$29</c15:sqref>
                        </c15:levelRef>
                        <c15:formulaRef>
                          <c15:sqref>('Analisi per Zona-Paese'!$B$5:$B$9,'Analisi per Zona-Paese'!$B$11:$B$15,'Analisi per Zona-Paese'!$B$17:$B$20,'Analisi per Zona-Paese'!$B$22:$B$24,'Analisi per Zona-Paese'!$B$26:$B$27)</c15:sqref>
                        </c15:formulaRef>
                      </c:ext>
                    </c:extLst>
                    <c:strCache>
                      <c:ptCount val="19"/>
                      <c:pt idx="0">
                        <c:v>Svezia</c:v>
                      </c:pt>
                      <c:pt idx="1">
                        <c:v>Norvegia</c:v>
                      </c:pt>
                      <c:pt idx="2">
                        <c:v>Finlandia </c:v>
                      </c:pt>
                      <c:pt idx="3">
                        <c:v>Danimarca</c:v>
                      </c:pt>
                      <c:pt idx="5">
                        <c:v>Paesi Bassi</c:v>
                      </c:pt>
                      <c:pt idx="6">
                        <c:v>Austria</c:v>
                      </c:pt>
                      <c:pt idx="7">
                        <c:v>Lituania</c:v>
                      </c:pt>
                      <c:pt idx="8">
                        <c:v>Estonia</c:v>
                      </c:pt>
                      <c:pt idx="10">
                        <c:v>Polonia</c:v>
                      </c:pt>
                      <c:pt idx="11">
                        <c:v>Rep. Ceca</c:v>
                      </c:pt>
                      <c:pt idx="12">
                        <c:v>Grecia</c:v>
                      </c:pt>
                      <c:pt idx="14">
                        <c:v>Cina</c:v>
                      </c:pt>
                      <c:pt idx="15">
                        <c:v>Giappone</c:v>
                      </c:pt>
                      <c:pt idx="17">
                        <c:v>Australia</c:v>
                      </c:pt>
                      <c:pt idx="18">
                        <c:v>Nuova Zelanda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'Analisi per Zona-Paese'!$X$5:$X$29</c15:sqref>
                        </c15:fullRef>
                        <c15:formulaRef>
                          <c15:sqref>('Analisi per Zona-Paese'!$X$5:$X$9,'Analisi per Zona-Paese'!$X$11:$X$15,'Analisi per Zona-Paese'!$X$17:$X$20,'Analisi per Zona-Paese'!$X$22:$X$24,'Analisi per Zona-Paese'!$X$26:$X$27)</c15:sqref>
                        </c15:formulaRef>
                      </c:ext>
                    </c:extLst>
                    <c:numCache>
                      <c:formatCode>0.0</c:formatCode>
                      <c:ptCount val="19"/>
                      <c:pt idx="0">
                        <c:v>24.625</c:v>
                      </c:pt>
                      <c:pt idx="1">
                        <c:v>41.7</c:v>
                      </c:pt>
                      <c:pt idx="2">
                        <c:v>49.631578947368418</c:v>
                      </c:pt>
                      <c:pt idx="3">
                        <c:v>10.75</c:v>
                      </c:pt>
                      <c:pt idx="5">
                        <c:v>33.75</c:v>
                      </c:pt>
                      <c:pt idx="6">
                        <c:v>72</c:v>
                      </c:pt>
                      <c:pt idx="7">
                        <c:v>35.5</c:v>
                      </c:pt>
                      <c:pt idx="8">
                        <c:v>4.666666666666667</c:v>
                      </c:pt>
                      <c:pt idx="10">
                        <c:v>21.333333333333332</c:v>
                      </c:pt>
                      <c:pt idx="11">
                        <c:v>54.111111111111114</c:v>
                      </c:pt>
                      <c:pt idx="12">
                        <c:v>5.5</c:v>
                      </c:pt>
                      <c:pt idx="14">
                        <c:v>127.28571428571429</c:v>
                      </c:pt>
                      <c:pt idx="15">
                        <c:v>87.045454545454547</c:v>
                      </c:pt>
                      <c:pt idx="17">
                        <c:v>38.416666666666664</c:v>
                      </c:pt>
                      <c:pt idx="18">
                        <c:v>12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F6D-4CCF-9EC5-1D8727656016}"/>
                  </c:ext>
                </c:extLst>
              </c15:ser>
            </c15:filteredBarSeries>
          </c:ext>
        </c:extLst>
      </c:bar3DChart>
      <c:catAx>
        <c:axId val="35317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3178056"/>
        <c:crosses val="autoZero"/>
        <c:auto val="1"/>
        <c:lblAlgn val="ctr"/>
        <c:lblOffset val="100"/>
        <c:noMultiLvlLbl val="0"/>
      </c:catAx>
      <c:valAx>
        <c:axId val="35317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3172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#Aziende per Anno di Fondazione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Tabelle!$B$29</c:f>
              <c:strCache>
                <c:ptCount val="1"/>
                <c:pt idx="0">
                  <c:v>#Aziende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Tabelle!$A$30:$A$55</c:f>
              <c:strCache>
                <c:ptCount val="26"/>
                <c:pt idx="0">
                  <c:v>&lt;1940</c:v>
                </c:pt>
                <c:pt idx="1">
                  <c:v>1940-1964</c:v>
                </c:pt>
                <c:pt idx="2">
                  <c:v>1965-1989</c:v>
                </c:pt>
                <c:pt idx="3">
                  <c:v>1990-2000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  <c:pt idx="24">
                  <c:v>2021</c:v>
                </c:pt>
                <c:pt idx="25">
                  <c:v>2022</c:v>
                </c:pt>
              </c:strCache>
            </c:strRef>
          </c:cat>
          <c:val>
            <c:numRef>
              <c:f>Tabelle!$B$30:$B$55</c:f>
              <c:numCache>
                <c:formatCode>General</c:formatCode>
                <c:ptCount val="26"/>
                <c:pt idx="0">
                  <c:v>6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6</c:v>
                </c:pt>
                <c:pt idx="5">
                  <c:v>5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1</c:v>
                </c:pt>
                <c:pt idx="12">
                  <c:v>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0</c:v>
                </c:pt>
                <c:pt idx="2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8A-4CF9-A81F-017CF6BC8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596152"/>
        <c:axId val="66560402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Tabelle!$A$29</c15:sqref>
                        </c15:formulaRef>
                      </c:ext>
                    </c:extLst>
                    <c:strCache>
                      <c:ptCount val="1"/>
                      <c:pt idx="0">
                        <c:v>YoF Aziende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Tabelle!$A$30:$A$55</c15:sqref>
                        </c15:formulaRef>
                      </c:ext>
                    </c:extLst>
                    <c:strCache>
                      <c:ptCount val="26"/>
                      <c:pt idx="0">
                        <c:v>&lt;1940</c:v>
                      </c:pt>
                      <c:pt idx="1">
                        <c:v>1940-1964</c:v>
                      </c:pt>
                      <c:pt idx="2">
                        <c:v>1965-1989</c:v>
                      </c:pt>
                      <c:pt idx="3">
                        <c:v>1990-2000</c:v>
                      </c:pt>
                      <c:pt idx="4">
                        <c:v>2001</c:v>
                      </c:pt>
                      <c:pt idx="5">
                        <c:v>2002</c:v>
                      </c:pt>
                      <c:pt idx="6">
                        <c:v>2003</c:v>
                      </c:pt>
                      <c:pt idx="7">
                        <c:v>2004</c:v>
                      </c:pt>
                      <c:pt idx="8">
                        <c:v>2005</c:v>
                      </c:pt>
                      <c:pt idx="9">
                        <c:v>2006</c:v>
                      </c:pt>
                      <c:pt idx="10">
                        <c:v>2007</c:v>
                      </c:pt>
                      <c:pt idx="11">
                        <c:v>2008</c:v>
                      </c:pt>
                      <c:pt idx="12">
                        <c:v>2009</c:v>
                      </c:pt>
                      <c:pt idx="13">
                        <c:v>2010</c:v>
                      </c:pt>
                      <c:pt idx="14">
                        <c:v>2011</c:v>
                      </c:pt>
                      <c:pt idx="15">
                        <c:v>2012</c:v>
                      </c:pt>
                      <c:pt idx="16">
                        <c:v>2013</c:v>
                      </c:pt>
                      <c:pt idx="17">
                        <c:v>2014</c:v>
                      </c:pt>
                      <c:pt idx="18">
                        <c:v>2015</c:v>
                      </c:pt>
                      <c:pt idx="19">
                        <c:v>2016</c:v>
                      </c:pt>
                      <c:pt idx="20">
                        <c:v>2017</c:v>
                      </c:pt>
                      <c:pt idx="21">
                        <c:v>2018</c:v>
                      </c:pt>
                      <c:pt idx="22">
                        <c:v>2019</c:v>
                      </c:pt>
                      <c:pt idx="23">
                        <c:v>2020</c:v>
                      </c:pt>
                      <c:pt idx="24">
                        <c:v>2021</c:v>
                      </c:pt>
                      <c:pt idx="25">
                        <c:v>2022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Tabelle!$A$30:$A$55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2001</c:v>
                      </c:pt>
                      <c:pt idx="5">
                        <c:v>2002</c:v>
                      </c:pt>
                      <c:pt idx="6">
                        <c:v>2003</c:v>
                      </c:pt>
                      <c:pt idx="7">
                        <c:v>2004</c:v>
                      </c:pt>
                      <c:pt idx="8">
                        <c:v>2005</c:v>
                      </c:pt>
                      <c:pt idx="9">
                        <c:v>2006</c:v>
                      </c:pt>
                      <c:pt idx="10">
                        <c:v>2007</c:v>
                      </c:pt>
                      <c:pt idx="11">
                        <c:v>2008</c:v>
                      </c:pt>
                      <c:pt idx="12">
                        <c:v>2009</c:v>
                      </c:pt>
                      <c:pt idx="13">
                        <c:v>2010</c:v>
                      </c:pt>
                      <c:pt idx="14">
                        <c:v>2011</c:v>
                      </c:pt>
                      <c:pt idx="15">
                        <c:v>2012</c:v>
                      </c:pt>
                      <c:pt idx="16">
                        <c:v>2013</c:v>
                      </c:pt>
                      <c:pt idx="17">
                        <c:v>2014</c:v>
                      </c:pt>
                      <c:pt idx="18">
                        <c:v>2015</c:v>
                      </c:pt>
                      <c:pt idx="19">
                        <c:v>2016</c:v>
                      </c:pt>
                      <c:pt idx="20">
                        <c:v>2017</c:v>
                      </c:pt>
                      <c:pt idx="21">
                        <c:v>2018</c:v>
                      </c:pt>
                      <c:pt idx="22">
                        <c:v>2019</c:v>
                      </c:pt>
                      <c:pt idx="23">
                        <c:v>2020</c:v>
                      </c:pt>
                      <c:pt idx="24">
                        <c:v>2021</c:v>
                      </c:pt>
                      <c:pt idx="25">
                        <c:v>2022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768A-4CF9-A81F-017CF6BC8655}"/>
                  </c:ext>
                </c:extLst>
              </c15:ser>
            </c15:filteredLineSeries>
          </c:ext>
        </c:extLst>
      </c:lineChart>
      <c:catAx>
        <c:axId val="665596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Anno di Fondazione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65604024"/>
        <c:crosses val="autoZero"/>
        <c:auto val="1"/>
        <c:lblAlgn val="ctr"/>
        <c:lblOffset val="100"/>
        <c:noMultiLvlLbl val="0"/>
      </c:catAx>
      <c:valAx>
        <c:axId val="665604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#Aziende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65596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15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15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7</xdr:col>
      <xdr:colOff>304800</xdr:colOff>
      <xdr:row>36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7620</xdr:colOff>
      <xdr:row>0</xdr:row>
      <xdr:rowOff>30480</xdr:rowOff>
    </xdr:from>
    <xdr:to>
      <xdr:col>23</xdr:col>
      <xdr:colOff>312420</xdr:colOff>
      <xdr:row>12</xdr:row>
      <xdr:rowOff>160020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7</xdr:col>
      <xdr:colOff>304800</xdr:colOff>
      <xdr:row>54</xdr:row>
      <xdr:rowOff>165100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40</xdr:row>
      <xdr:rowOff>0</xdr:rowOff>
    </xdr:from>
    <xdr:to>
      <xdr:col>16</xdr:col>
      <xdr:colOff>323850</xdr:colOff>
      <xdr:row>54</xdr:row>
      <xdr:rowOff>165100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304800</xdr:colOff>
      <xdr:row>71</xdr:row>
      <xdr:rowOff>165100</xdr:rowOff>
    </xdr:to>
    <xdr:graphicFrame macro="">
      <xdr:nvGraphicFramePr>
        <xdr:cNvPr id="13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21</xdr:row>
      <xdr:rowOff>0</xdr:rowOff>
    </xdr:from>
    <xdr:to>
      <xdr:col>17</xdr:col>
      <xdr:colOff>304800</xdr:colOff>
      <xdr:row>35</xdr:row>
      <xdr:rowOff>165100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la2" displayName="Tabella2" ref="A1:N207" headerRowDxfId="44" dataDxfId="42" totalsRowDxfId="40" headerRowBorderDxfId="43" tableBorderDxfId="41" totalsRowBorderDxfId="39">
  <autoFilter ref="A1:N207">
    <filterColumn colId="0">
      <colorFilter dxfId="38" cellColor="0"/>
    </filterColumn>
  </autoFilter>
  <sortState ref="A2:M160">
    <sortCondition ref="F1:F207"/>
  </sortState>
  <tableColumns count="14">
    <tableColumn id="1" name="NAME" totalsRowLabel="Skytree" dataDxfId="37" totalsRowDxfId="36"/>
    <tableColumn id="11" name="foundation_launch_year" dataDxfId="35"/>
    <tableColumn id="5" name="Cluster Year" dataDxfId="34">
      <calculatedColumnFormula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calculatedColumnFormula>
    </tableColumn>
    <tableColumn id="2" name="age" dataDxfId="33">
      <calculatedColumnFormula>2023-Tabella2[[#This Row],[foundation_launch_year]]</calculatedColumnFormula>
    </tableColumn>
    <tableColumn id="3" name="Area Geografica" dataDxfId="32"/>
    <tableColumn id="10" name="COUNTRY_founded_or_current" dataDxfId="31" totalsRowDxfId="30"/>
    <tableColumn id="9" name="upstream_dr" dataDxfId="29" totalsRowDxfId="28"/>
    <tableColumn id="8" name="downstream_dr" dataDxfId="27" totalsRowDxfId="26"/>
    <tableColumn id="6" name="us&amp;ds" dataDxfId="25" totalsRowDxfId="24">
      <calculatedColumnFormula>IF(Tabella2[[#This Row],[upstream_dr]]+Tabella2[[#This Row],[downstream_dr]]=2, "1", " ")</calculatedColumnFormula>
    </tableColumn>
    <tableColumn id="13" name="excluded" dataDxfId="23" totalsRowDxfId="22"/>
    <tableColumn id="14" name="reason" dataDxfId="21" totalsRowDxfId="20"/>
    <tableColumn id="21" name="derwent_query" dataDxfId="19" totalsRowDxfId="18"/>
    <tableColumn id="20" name="derw_pat" dataDxfId="17" totalsRowDxfId="16"/>
    <tableColumn id="4" name="cluster patent" dataDxfId="15" totalsRowDxfId="14">
      <calculatedColumnFormula>IF(Tabella2[[#This Row],[derw_pat]]&lt;6, "1-5",  IF(Tabella2[[#This Row],[derw_pat]]&lt;26,"6-25", IF(Tabella2[[#This Row],[derw_pat]]&lt;51, "26-50", IF(Tabella2[[#This Row],[derw_pat]]&lt;101, "51-100", IF(Tabella2[[#This Row],[derw_pat]]&lt;301, "100-300","300+")))))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Tabella1" displayName="Tabella1" ref="A12:C18" totalsRowShown="0">
  <autoFilter ref="A12:C18"/>
  <tableColumns count="3">
    <tableColumn id="1" name="Brevetti per azienda"/>
    <tableColumn id="2" name="Aziende"/>
    <tableColumn id="3" name="%Tot" dataDxfId="13" dataCellStyle="Percentuale">
      <calculatedColumnFormula>B13/159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la3" displayName="Tabella3" ref="H29:I36" totalsRowShown="0">
  <autoFilter ref="H29:I36"/>
  <tableColumns count="2">
    <tableColumn id="1" name="ETA' AZIENDE"/>
    <tableColumn id="2" name="Colonna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Tabella6" displayName="Tabella6" ref="E12:F19" totalsRowShown="0">
  <autoFilter ref="E12:F19"/>
  <tableColumns count="2">
    <tableColumn id="1" name="Brevetti per azienda" dataDxfId="12"/>
    <tableColumn id="2" name="Valor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ella5" displayName="Tabella5" ref="A2:C8" totalsRowCount="1" headerRowDxfId="11" dataDxfId="10" totalsRowDxfId="9">
  <autoFilter ref="A2:C7"/>
  <tableColumns count="3">
    <tableColumn id="1" name="Classificazione Aziende" totalsRowLabel="Totale" dataDxfId="8" totalsRowDxfId="7"/>
    <tableColumn id="2" name="#Aziende" totalsRowFunction="sum" dataDxfId="6" totalsRowDxfId="5"/>
    <tableColumn id="3" name="%Totale" totalsRowFunction="sum" dataDxfId="4" totalsRowDxfId="3" dataCellStyle="Percentuale">
      <calculatedColumnFormula>Tabella5[[#This Row],['#Aziende]]/Tabella5[[#Totals],['#Aziende]]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Tabella7" displayName="Tabella7" ref="E2:H6" totalsRowShown="0" headerRowDxfId="2" tableBorderDxfId="1">
  <autoFilter ref="E2:H6"/>
  <tableColumns count="4">
    <tableColumn id="1" name="Classificazione"/>
    <tableColumn id="2" name="#Aziende"/>
    <tableColumn id="3" name="%Totale"/>
    <tableColumn id="4" name="Età medi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207"/>
  <sheetViews>
    <sheetView zoomScale="70" zoomScaleNormal="70" workbookViewId="0">
      <selection activeCell="B2" sqref="B2"/>
    </sheetView>
  </sheetViews>
  <sheetFormatPr defaultColWidth="13.81640625" defaultRowHeight="14.5" x14ac:dyDescent="0.35"/>
  <cols>
    <col min="1" max="1" width="53" style="17" bestFit="1" customWidth="1"/>
    <col min="6" max="6" width="13.81640625" style="6"/>
    <col min="7" max="8" width="13.81640625" style="12"/>
    <col min="11" max="11" width="32.81640625" customWidth="1"/>
    <col min="13" max="13" width="13.81640625" style="12"/>
  </cols>
  <sheetData>
    <row r="1" spans="1:18" x14ac:dyDescent="0.35">
      <c r="A1" s="1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3" t="s">
        <v>11</v>
      </c>
      <c r="M1" s="3" t="s">
        <v>12</v>
      </c>
      <c r="N1" s="5" t="s">
        <v>13</v>
      </c>
    </row>
    <row r="2" spans="1:18" ht="14.75" customHeight="1" x14ac:dyDescent="0.35">
      <c r="A2" s="1" t="s">
        <v>14</v>
      </c>
      <c r="B2" s="6">
        <v>2015</v>
      </c>
      <c r="C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2" s="6">
        <f>2023-Tabella2[[#This Row],[foundation_launch_year]]</f>
        <v>8</v>
      </c>
      <c r="E2" s="6" t="s">
        <v>15</v>
      </c>
      <c r="F2" s="6" t="s">
        <v>16</v>
      </c>
      <c r="G2" s="12">
        <v>1</v>
      </c>
      <c r="I2" s="12" t="str">
        <f>IF(Tabella2[[#This Row],[upstream_dr]]+Tabella2[[#This Row],[downstream_dr]]=2, "1", " ")</f>
        <v xml:space="preserve"> </v>
      </c>
      <c r="J2" s="6"/>
      <c r="K2" s="6"/>
      <c r="L2" s="9" t="s">
        <v>17</v>
      </c>
      <c r="M2" s="4">
        <v>50</v>
      </c>
      <c r="N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3" spans="1:18" ht="14.75" customHeight="1" x14ac:dyDescent="0.35">
      <c r="A3" s="1" t="s">
        <v>18</v>
      </c>
      <c r="B3" s="6">
        <v>2001</v>
      </c>
      <c r="C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3" s="6">
        <f>2023-Tabella2[[#This Row],[foundation_launch_year]]</f>
        <v>22</v>
      </c>
      <c r="E3" s="6" t="s">
        <v>15</v>
      </c>
      <c r="F3" s="6" t="s">
        <v>16</v>
      </c>
      <c r="H3" s="12">
        <v>1</v>
      </c>
      <c r="I3" s="12" t="str">
        <f>IF(Tabella2[[#This Row],[upstream_dr]]+Tabella2[[#This Row],[downstream_dr]]=2, "1", " ")</f>
        <v xml:space="preserve"> </v>
      </c>
      <c r="J3" s="6"/>
      <c r="K3" s="6"/>
      <c r="L3" s="9" t="s">
        <v>19</v>
      </c>
      <c r="M3" s="4">
        <v>2</v>
      </c>
      <c r="N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4" spans="1:18" x14ac:dyDescent="0.35">
      <c r="A4" s="16" t="s">
        <v>20</v>
      </c>
      <c r="B4" s="6">
        <v>2015</v>
      </c>
      <c r="C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4" s="6">
        <f>2023-Tabella2[[#This Row],[foundation_launch_year]]</f>
        <v>8</v>
      </c>
      <c r="E4" s="6" t="s">
        <v>15</v>
      </c>
      <c r="F4" s="6" t="s">
        <v>16</v>
      </c>
      <c r="G4" s="12">
        <v>1</v>
      </c>
      <c r="I4" s="12" t="str">
        <f>IF(Tabella2[[#This Row],[upstream_dr]]+Tabella2[[#This Row],[downstream_dr]]=2, "1", " ")</f>
        <v xml:space="preserve"> </v>
      </c>
      <c r="J4" s="6"/>
      <c r="K4" s="6"/>
      <c r="L4" s="9" t="s">
        <v>21</v>
      </c>
      <c r="M4" s="4">
        <v>28</v>
      </c>
      <c r="N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5" spans="1:18" x14ac:dyDescent="0.35">
      <c r="A5" s="16" t="s">
        <v>22</v>
      </c>
      <c r="B5" s="6">
        <v>2017</v>
      </c>
      <c r="C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5" s="6">
        <f>2023-Tabella2[[#This Row],[foundation_launch_year]]</f>
        <v>6</v>
      </c>
      <c r="E5" s="6" t="s">
        <v>15</v>
      </c>
      <c r="F5" s="6" t="s">
        <v>16</v>
      </c>
      <c r="G5" s="12">
        <v>1</v>
      </c>
      <c r="I5" s="12" t="str">
        <f>IF(Tabella2[[#This Row],[upstream_dr]]+Tabella2[[#This Row],[downstream_dr]]=2, "1", " ")</f>
        <v xml:space="preserve"> </v>
      </c>
      <c r="J5" s="6"/>
      <c r="K5" s="6"/>
      <c r="L5" s="9" t="s">
        <v>23</v>
      </c>
      <c r="M5" s="4">
        <v>5</v>
      </c>
      <c r="N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6" spans="1:18" x14ac:dyDescent="0.35">
      <c r="A6" s="16" t="s">
        <v>24</v>
      </c>
      <c r="B6" s="6">
        <v>2014</v>
      </c>
      <c r="C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6" s="6">
        <f>2023-Tabella2[[#This Row],[foundation_launch_year]]</f>
        <v>9</v>
      </c>
      <c r="E6" s="6" t="s">
        <v>15</v>
      </c>
      <c r="F6" s="6" t="s">
        <v>16</v>
      </c>
      <c r="H6" s="12">
        <v>1</v>
      </c>
      <c r="I6" s="12" t="str">
        <f>IF(Tabella2[[#This Row],[upstream_dr]]+Tabella2[[#This Row],[downstream_dr]]=2, "1", " ")</f>
        <v xml:space="preserve"> </v>
      </c>
      <c r="J6" s="6"/>
      <c r="K6" s="6"/>
      <c r="L6" s="9" t="s">
        <v>25</v>
      </c>
      <c r="M6" s="4">
        <v>12</v>
      </c>
      <c r="N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7" spans="1:18" ht="14.75" customHeight="1" x14ac:dyDescent="0.35">
      <c r="A7" s="16" t="s">
        <v>26</v>
      </c>
      <c r="B7" s="6">
        <v>2016</v>
      </c>
      <c r="C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7" s="6">
        <f>2023-Tabella2[[#This Row],[foundation_launch_year]]</f>
        <v>7</v>
      </c>
      <c r="E7" s="6" t="s">
        <v>15</v>
      </c>
      <c r="F7" s="6" t="s">
        <v>16</v>
      </c>
      <c r="H7" s="12">
        <v>1</v>
      </c>
      <c r="I7" s="12" t="str">
        <f>IF(Tabella2[[#This Row],[upstream_dr]]+Tabella2[[#This Row],[downstream_dr]]=2, "1", " ")</f>
        <v xml:space="preserve"> </v>
      </c>
      <c r="J7" s="6"/>
      <c r="K7" s="6"/>
      <c r="L7" s="9" t="s">
        <v>27</v>
      </c>
      <c r="M7" s="4">
        <v>11</v>
      </c>
      <c r="N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8" spans="1:18" x14ac:dyDescent="0.35">
      <c r="A8" s="16" t="s">
        <v>28</v>
      </c>
      <c r="B8" s="6">
        <v>2015</v>
      </c>
      <c r="C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8" s="6">
        <f>2023-Tabella2[[#This Row],[foundation_launch_year]]</f>
        <v>8</v>
      </c>
      <c r="E8" s="6" t="s">
        <v>15</v>
      </c>
      <c r="F8" s="6" t="s">
        <v>16</v>
      </c>
      <c r="H8" s="12">
        <v>1</v>
      </c>
      <c r="I8" s="12" t="str">
        <f>IF(Tabella2[[#This Row],[upstream_dr]]+Tabella2[[#This Row],[downstream_dr]]=2, "1", " ")</f>
        <v xml:space="preserve"> </v>
      </c>
      <c r="J8" s="6"/>
      <c r="K8" s="6"/>
      <c r="L8" s="9" t="s">
        <v>29</v>
      </c>
      <c r="M8" s="4">
        <v>143</v>
      </c>
      <c r="N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  <c r="Q8" s="11" t="s">
        <v>30</v>
      </c>
    </row>
    <row r="9" spans="1:18" x14ac:dyDescent="0.35">
      <c r="A9" s="16" t="s">
        <v>31</v>
      </c>
      <c r="B9" s="6">
        <v>2012</v>
      </c>
      <c r="C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9" s="6">
        <f>2023-Tabella2[[#This Row],[foundation_launch_year]]</f>
        <v>11</v>
      </c>
      <c r="E9" s="6" t="s">
        <v>15</v>
      </c>
      <c r="F9" s="6" t="s">
        <v>16</v>
      </c>
      <c r="H9" s="23">
        <v>1</v>
      </c>
      <c r="I9" s="12" t="str">
        <f>IF(Tabella2[[#This Row],[upstream_dr]]+Tabella2[[#This Row],[downstream_dr]]=2, "1", " ")</f>
        <v xml:space="preserve"> </v>
      </c>
      <c r="J9" s="6"/>
      <c r="K9" s="6"/>
      <c r="L9" s="9" t="s">
        <v>32</v>
      </c>
      <c r="M9" s="4">
        <v>6</v>
      </c>
      <c r="N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  <c r="Q9" t="s">
        <v>33</v>
      </c>
      <c r="R9" t="s">
        <v>34</v>
      </c>
    </row>
    <row r="10" spans="1:18" ht="14.75" customHeight="1" x14ac:dyDescent="0.35">
      <c r="A10" s="16" t="s">
        <v>35</v>
      </c>
      <c r="B10" s="6">
        <v>2014</v>
      </c>
      <c r="C1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0" s="6">
        <f>2023-Tabella2[[#This Row],[foundation_launch_year]]</f>
        <v>9</v>
      </c>
      <c r="E10" s="6" t="s">
        <v>15</v>
      </c>
      <c r="F10" s="6" t="s">
        <v>16</v>
      </c>
      <c r="H10" s="12">
        <v>1</v>
      </c>
      <c r="I10" s="12" t="str">
        <f>IF(Tabella2[[#This Row],[upstream_dr]]+Tabella2[[#This Row],[downstream_dr]]=2, "1", " ")</f>
        <v xml:space="preserve"> </v>
      </c>
      <c r="J10" s="6"/>
      <c r="K10" s="6"/>
      <c r="L10" s="9" t="s">
        <v>36</v>
      </c>
      <c r="M10" s="4">
        <v>11</v>
      </c>
      <c r="N1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  <c r="Q10" t="s">
        <v>37</v>
      </c>
      <c r="R10" t="s">
        <v>38</v>
      </c>
    </row>
    <row r="11" spans="1:18" ht="14.75" customHeight="1" x14ac:dyDescent="0.35">
      <c r="A11" s="16" t="s">
        <v>39</v>
      </c>
      <c r="B11" s="6">
        <v>2019</v>
      </c>
      <c r="C1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1" s="6">
        <f>2023-Tabella2[[#This Row],[foundation_launch_year]]</f>
        <v>4</v>
      </c>
      <c r="E11" s="6" t="s">
        <v>15</v>
      </c>
      <c r="F11" s="6" t="s">
        <v>16</v>
      </c>
      <c r="G11" s="12">
        <v>1</v>
      </c>
      <c r="I11" s="12" t="str">
        <f>IF(Tabella2[[#This Row],[upstream_dr]]+Tabella2[[#This Row],[downstream_dr]]=2, "1", " ")</f>
        <v xml:space="preserve"> </v>
      </c>
      <c r="J11" s="6"/>
      <c r="K11" s="6"/>
      <c r="L11" s="9" t="s">
        <v>40</v>
      </c>
      <c r="M11" s="4">
        <v>1</v>
      </c>
      <c r="N1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  <c r="Q11" t="s">
        <v>41</v>
      </c>
      <c r="R11" t="s">
        <v>42</v>
      </c>
    </row>
    <row r="12" spans="1:18" ht="14.75" customHeight="1" x14ac:dyDescent="0.35">
      <c r="A12" s="16" t="s">
        <v>43</v>
      </c>
      <c r="B12" s="6">
        <v>1987</v>
      </c>
      <c r="C1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2" s="6">
        <f>2023-Tabella2[[#This Row],[foundation_launch_year]]</f>
        <v>36</v>
      </c>
      <c r="E12" s="6" t="s">
        <v>15</v>
      </c>
      <c r="F12" s="6" t="s">
        <v>16</v>
      </c>
      <c r="G12" s="23">
        <v>1</v>
      </c>
      <c r="H12" s="23"/>
      <c r="I12" s="12" t="str">
        <f>IF(Tabella2[[#This Row],[upstream_dr]]+Tabella2[[#This Row],[downstream_dr]]=2, "1", " ")</f>
        <v xml:space="preserve"> </v>
      </c>
      <c r="J12" s="6"/>
      <c r="K12" s="6"/>
      <c r="L12" s="9" t="s">
        <v>44</v>
      </c>
      <c r="M12" s="4">
        <v>80</v>
      </c>
      <c r="N1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3" spans="1:18" ht="14.75" customHeight="1" x14ac:dyDescent="0.35">
      <c r="A13" s="18" t="s">
        <v>45</v>
      </c>
      <c r="B13" s="6">
        <v>1967</v>
      </c>
      <c r="C1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3" s="6">
        <f>2023-Tabella2[[#This Row],[foundation_launch_year]]</f>
        <v>56</v>
      </c>
      <c r="E13" s="6" t="s">
        <v>15</v>
      </c>
      <c r="F13" s="6" t="s">
        <v>16</v>
      </c>
      <c r="H13" s="23">
        <v>1</v>
      </c>
      <c r="I13" s="12" t="str">
        <f>IF(Tabella2[[#This Row],[upstream_dr]]+Tabella2[[#This Row],[downstream_dr]]=2, "1", " ")</f>
        <v xml:space="preserve"> </v>
      </c>
      <c r="J13" s="6"/>
      <c r="K13" s="6"/>
      <c r="L13" s="9" t="s">
        <v>46</v>
      </c>
      <c r="M13" s="4">
        <v>112</v>
      </c>
      <c r="N1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14" spans="1:18" ht="14.75" customHeight="1" x14ac:dyDescent="0.35">
      <c r="A14" s="8" t="s">
        <v>47</v>
      </c>
      <c r="B14" s="6">
        <v>1999</v>
      </c>
      <c r="C1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4" s="6">
        <f>2023-Tabella2[[#This Row],[foundation_launch_year]]</f>
        <v>24</v>
      </c>
      <c r="E14" s="6" t="s">
        <v>48</v>
      </c>
      <c r="F14" s="6" t="s">
        <v>49</v>
      </c>
      <c r="G14" s="12">
        <v>1</v>
      </c>
      <c r="I14" s="12" t="str">
        <f>IF(Tabella2[[#This Row],[upstream_dr]]+Tabella2[[#This Row],[downstream_dr]]=2, "1", " ")</f>
        <v xml:space="preserve"> </v>
      </c>
      <c r="J14" s="6"/>
      <c r="K14" s="6"/>
      <c r="L14" s="9" t="s">
        <v>50</v>
      </c>
      <c r="M14" s="4">
        <v>4</v>
      </c>
      <c r="N1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5" spans="1:18" ht="14.75" customHeight="1" x14ac:dyDescent="0.35">
      <c r="A15" s="18" t="s">
        <v>51</v>
      </c>
      <c r="B15" s="6">
        <v>2002</v>
      </c>
      <c r="C1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5" s="6">
        <f>2023-Tabella2[[#This Row],[foundation_launch_year]]</f>
        <v>21</v>
      </c>
      <c r="E15" s="6" t="s">
        <v>48</v>
      </c>
      <c r="F15" s="6" t="s">
        <v>49</v>
      </c>
      <c r="H15" s="12">
        <v>1</v>
      </c>
      <c r="I15" s="12" t="str">
        <f>IF(Tabella2[[#This Row],[upstream_dr]]+Tabella2[[#This Row],[downstream_dr]]=2, "1", " ")</f>
        <v xml:space="preserve"> </v>
      </c>
      <c r="J15" s="6"/>
      <c r="K15" s="6"/>
      <c r="L15" s="9" t="s">
        <v>52</v>
      </c>
      <c r="M15" s="4">
        <v>56</v>
      </c>
      <c r="N1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6" spans="1:18" x14ac:dyDescent="0.35">
      <c r="A16" s="18" t="s">
        <v>53</v>
      </c>
      <c r="B16" s="6">
        <v>2015</v>
      </c>
      <c r="C1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6" s="6">
        <f>2023-Tabella2[[#This Row],[foundation_launch_year]]</f>
        <v>8</v>
      </c>
      <c r="E16" s="6" t="s">
        <v>48</v>
      </c>
      <c r="F16" s="6" t="s">
        <v>49</v>
      </c>
      <c r="G16" s="12">
        <v>1</v>
      </c>
      <c r="I16" s="12" t="str">
        <f>IF(Tabella2[[#This Row],[upstream_dr]]+Tabella2[[#This Row],[downstream_dr]]=2, "1", " ")</f>
        <v xml:space="preserve"> </v>
      </c>
      <c r="J16" s="6"/>
      <c r="K16" s="6"/>
      <c r="L16" s="9" t="s">
        <v>54</v>
      </c>
      <c r="M16" s="4">
        <v>4</v>
      </c>
      <c r="N1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" spans="1:14" ht="14.75" customHeight="1" x14ac:dyDescent="0.35">
      <c r="A17" s="18" t="s">
        <v>55</v>
      </c>
      <c r="B17" s="6">
        <v>2001</v>
      </c>
      <c r="C1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7" s="6">
        <f>2023-Tabella2[[#This Row],[foundation_launch_year]]</f>
        <v>22</v>
      </c>
      <c r="E17" s="6" t="s">
        <v>48</v>
      </c>
      <c r="F17" s="6" t="s">
        <v>49</v>
      </c>
      <c r="H17" s="12">
        <v>1</v>
      </c>
      <c r="I17" s="12" t="str">
        <f>IF(Tabella2[[#This Row],[upstream_dr]]+Tabella2[[#This Row],[downstream_dr]]=2, "1", " ")</f>
        <v xml:space="preserve"> </v>
      </c>
      <c r="J17" s="6"/>
      <c r="K17" s="6"/>
      <c r="L17" s="9" t="s">
        <v>56</v>
      </c>
      <c r="M17" s="4">
        <v>31</v>
      </c>
      <c r="N1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18" spans="1:14" ht="14.75" customHeight="1" x14ac:dyDescent="0.35">
      <c r="A18" s="18" t="s">
        <v>57</v>
      </c>
      <c r="B18" s="6">
        <v>2019</v>
      </c>
      <c r="C1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8" s="6">
        <f>2023-Tabella2[[#This Row],[foundation_launch_year]]</f>
        <v>4</v>
      </c>
      <c r="E18" s="6" t="s">
        <v>48</v>
      </c>
      <c r="F18" s="6" t="s">
        <v>49</v>
      </c>
      <c r="H18" s="12">
        <v>1</v>
      </c>
      <c r="I18" s="12" t="str">
        <f>IF(Tabella2[[#This Row],[upstream_dr]]+Tabella2[[#This Row],[downstream_dr]]=2, "1", " ")</f>
        <v xml:space="preserve"> </v>
      </c>
      <c r="J18" s="6"/>
      <c r="K18" s="6"/>
      <c r="L18" s="9" t="s">
        <v>58</v>
      </c>
      <c r="M18" s="4">
        <v>11</v>
      </c>
      <c r="N1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9" spans="1:14" x14ac:dyDescent="0.35">
      <c r="A19" s="18" t="s">
        <v>59</v>
      </c>
      <c r="B19" s="6">
        <v>2020</v>
      </c>
      <c r="C1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9" s="6">
        <f>2023-Tabella2[[#This Row],[foundation_launch_year]]</f>
        <v>3</v>
      </c>
      <c r="E19" s="6" t="s">
        <v>48</v>
      </c>
      <c r="F19" s="6" t="s">
        <v>49</v>
      </c>
      <c r="H19" s="12">
        <v>1</v>
      </c>
      <c r="I19" s="12" t="str">
        <f>IF(Tabella2[[#This Row],[upstream_dr]]+Tabella2[[#This Row],[downstream_dr]]=2, "1", " ")</f>
        <v xml:space="preserve"> </v>
      </c>
      <c r="J19" s="6"/>
      <c r="K19" s="6"/>
      <c r="L19" s="9" t="s">
        <v>60</v>
      </c>
      <c r="M19" s="4">
        <v>8</v>
      </c>
      <c r="N1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20" spans="1:14" ht="14.75" customHeight="1" x14ac:dyDescent="0.35">
      <c r="A20" s="14" t="s">
        <v>61</v>
      </c>
      <c r="B20" s="6">
        <v>2016</v>
      </c>
      <c r="C2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20" s="6">
        <f>2023-Tabella2[[#This Row],[foundation_launch_year]]</f>
        <v>7</v>
      </c>
      <c r="E20" s="6" t="s">
        <v>48</v>
      </c>
      <c r="F20" s="6" t="s">
        <v>49</v>
      </c>
      <c r="G20" s="12">
        <v>1</v>
      </c>
      <c r="I20" s="12" t="str">
        <f>IF(Tabella2[[#This Row],[upstream_dr]]+Tabella2[[#This Row],[downstream_dr]]=2, "1", " ")</f>
        <v xml:space="preserve"> </v>
      </c>
      <c r="J20" s="6"/>
      <c r="K20" s="6"/>
      <c r="L20" s="1" t="s">
        <v>62</v>
      </c>
      <c r="M20" s="2">
        <v>23</v>
      </c>
      <c r="N2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21" spans="1:14" x14ac:dyDescent="0.35">
      <c r="A21" s="14" t="s">
        <v>63</v>
      </c>
      <c r="B21" s="6">
        <v>2011</v>
      </c>
      <c r="C2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21" s="6">
        <f>2023-Tabella2[[#This Row],[foundation_launch_year]]</f>
        <v>12</v>
      </c>
      <c r="E21" s="6" t="s">
        <v>48</v>
      </c>
      <c r="F21" s="6" t="s">
        <v>49</v>
      </c>
      <c r="H21" s="12">
        <v>1</v>
      </c>
      <c r="I21" s="12" t="str">
        <f>IF(Tabella2[[#This Row],[upstream_dr]]+Tabella2[[#This Row],[downstream_dr]]=2, "1", " ")</f>
        <v xml:space="preserve"> </v>
      </c>
      <c r="J21" s="6"/>
      <c r="K21" s="6"/>
      <c r="L21" s="1" t="s">
        <v>64</v>
      </c>
      <c r="M21" s="2">
        <v>35</v>
      </c>
      <c r="N2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22" spans="1:14" x14ac:dyDescent="0.35">
      <c r="A22" s="14" t="s">
        <v>65</v>
      </c>
      <c r="B22" s="6">
        <v>2019</v>
      </c>
      <c r="C2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22" s="6">
        <f>2023-Tabella2[[#This Row],[foundation_launch_year]]</f>
        <v>4</v>
      </c>
      <c r="E22" s="6" t="s">
        <v>48</v>
      </c>
      <c r="F22" s="6" t="s">
        <v>49</v>
      </c>
      <c r="H22" s="23">
        <v>1</v>
      </c>
      <c r="I22" s="12" t="str">
        <f>IF(Tabella2[[#This Row],[upstream_dr]]+Tabella2[[#This Row],[downstream_dr]]=2, "1", " ")</f>
        <v xml:space="preserve"> </v>
      </c>
      <c r="J22" s="6"/>
      <c r="K22" s="6"/>
      <c r="L22" s="1" t="s">
        <v>66</v>
      </c>
      <c r="M22" s="2">
        <v>7</v>
      </c>
      <c r="N2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23" spans="1:14" ht="14.75" customHeight="1" x14ac:dyDescent="0.35">
      <c r="A23" s="14" t="s">
        <v>67</v>
      </c>
      <c r="B23" s="6">
        <v>2016</v>
      </c>
      <c r="C2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23" s="6">
        <f>2023-Tabella2[[#This Row],[foundation_launch_year]]</f>
        <v>7</v>
      </c>
      <c r="E23" s="6" t="s">
        <v>48</v>
      </c>
      <c r="F23" s="6" t="s">
        <v>49</v>
      </c>
      <c r="G23" s="23">
        <v>1</v>
      </c>
      <c r="H23" s="23"/>
      <c r="I23" s="12" t="str">
        <f>IF(Tabella2[[#This Row],[upstream_dr]]+Tabella2[[#This Row],[downstream_dr]]=2, "1", " ")</f>
        <v xml:space="preserve"> </v>
      </c>
      <c r="J23" s="6"/>
      <c r="K23" s="6"/>
      <c r="L23" s="1" t="s">
        <v>68</v>
      </c>
      <c r="M23" s="2">
        <v>28</v>
      </c>
      <c r="N2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24" spans="1:14" ht="14.75" customHeight="1" x14ac:dyDescent="0.35">
      <c r="A24" s="14" t="s">
        <v>69</v>
      </c>
      <c r="B24" s="6">
        <v>2010</v>
      </c>
      <c r="C2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24" s="6">
        <f>2023-Tabella2[[#This Row],[foundation_launch_year]]</f>
        <v>13</v>
      </c>
      <c r="E24" s="6" t="s">
        <v>48</v>
      </c>
      <c r="F24" s="6" t="s">
        <v>49</v>
      </c>
      <c r="H24" s="23">
        <v>1</v>
      </c>
      <c r="I24" s="12" t="str">
        <f>IF(Tabella2[[#This Row],[upstream_dr]]+Tabella2[[#This Row],[downstream_dr]]=2, "1", " ")</f>
        <v xml:space="preserve"> </v>
      </c>
      <c r="J24" s="6"/>
      <c r="K24" s="6"/>
      <c r="L24" s="1" t="s">
        <v>70</v>
      </c>
      <c r="M24" s="2">
        <v>2</v>
      </c>
      <c r="N2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5" spans="1:14" ht="14.75" customHeight="1" x14ac:dyDescent="0.35">
      <c r="A25" s="14" t="s">
        <v>71</v>
      </c>
      <c r="B25" s="6">
        <v>2010</v>
      </c>
      <c r="C2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25" s="6">
        <f>2023-Tabella2[[#This Row],[foundation_launch_year]]</f>
        <v>13</v>
      </c>
      <c r="E25" s="6" t="s">
        <v>48</v>
      </c>
      <c r="F25" s="6" t="s">
        <v>49</v>
      </c>
      <c r="G25" s="23">
        <v>1</v>
      </c>
      <c r="I25" s="12" t="str">
        <f>IF(Tabella2[[#This Row],[upstream_dr]]+Tabella2[[#This Row],[downstream_dr]]=2, "1", " ")</f>
        <v xml:space="preserve"> </v>
      </c>
      <c r="J25" s="6"/>
      <c r="K25" s="6"/>
      <c r="L25" s="1" t="s">
        <v>72</v>
      </c>
      <c r="M25" s="2">
        <v>6</v>
      </c>
      <c r="N2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26" spans="1:14" ht="14.75" customHeight="1" x14ac:dyDescent="0.35">
      <c r="A26" s="14" t="s">
        <v>73</v>
      </c>
      <c r="B26" s="6">
        <v>2016</v>
      </c>
      <c r="C2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26" s="6">
        <f>2023-Tabella2[[#This Row],[foundation_launch_year]]</f>
        <v>7</v>
      </c>
      <c r="E26" s="6" t="s">
        <v>48</v>
      </c>
      <c r="F26" s="6" t="s">
        <v>49</v>
      </c>
      <c r="H26" s="23">
        <v>1</v>
      </c>
      <c r="I26" s="12" t="str">
        <f>IF(Tabella2[[#This Row],[upstream_dr]]+Tabella2[[#This Row],[downstream_dr]]=2, "1", " ")</f>
        <v xml:space="preserve"> </v>
      </c>
      <c r="J26" s="6"/>
      <c r="K26" s="6"/>
      <c r="L26" s="1" t="s">
        <v>74</v>
      </c>
      <c r="M26" s="2">
        <v>2</v>
      </c>
      <c r="N2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7" spans="1:14" x14ac:dyDescent="0.35">
      <c r="A27" s="14" t="s">
        <v>75</v>
      </c>
      <c r="B27" s="24">
        <v>2005</v>
      </c>
      <c r="C27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27" s="24">
        <f>2023-Tabella2[[#This Row],[foundation_launch_year]]</f>
        <v>18</v>
      </c>
      <c r="E27" s="6" t="s">
        <v>48</v>
      </c>
      <c r="F27" s="6" t="s">
        <v>49</v>
      </c>
      <c r="G27" s="23">
        <v>1</v>
      </c>
      <c r="I27" s="12" t="str">
        <f>IF(Tabella2[[#This Row],[upstream_dr]]+Tabella2[[#This Row],[downstream_dr]]=2, "1", " ")</f>
        <v xml:space="preserve"> </v>
      </c>
      <c r="J27" s="6"/>
      <c r="K27" s="6"/>
      <c r="L27" s="1" t="s">
        <v>76</v>
      </c>
      <c r="M27" s="2">
        <v>5</v>
      </c>
      <c r="N2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8" spans="1:14" ht="14.75" customHeight="1" x14ac:dyDescent="0.35">
      <c r="A28" s="14" t="s">
        <v>77</v>
      </c>
      <c r="B28" s="24">
        <v>1984</v>
      </c>
      <c r="C28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28" s="24">
        <f>2023-Tabella2[[#This Row],[foundation_launch_year]]</f>
        <v>39</v>
      </c>
      <c r="E28" s="6" t="s">
        <v>48</v>
      </c>
      <c r="F28" s="6" t="s">
        <v>49</v>
      </c>
      <c r="G28" s="23"/>
      <c r="H28" s="23">
        <v>1</v>
      </c>
      <c r="I28" s="12" t="str">
        <f>IF(Tabella2[[#This Row],[upstream_dr]]+Tabella2[[#This Row],[downstream_dr]]=2, "1", " ")</f>
        <v xml:space="preserve"> </v>
      </c>
      <c r="J28" s="6"/>
      <c r="K28" s="6"/>
      <c r="L28" s="1" t="s">
        <v>78</v>
      </c>
      <c r="M28" s="2">
        <v>858</v>
      </c>
      <c r="N2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29" spans="1:14" x14ac:dyDescent="0.35">
      <c r="A29" s="14" t="s">
        <v>79</v>
      </c>
      <c r="B29" s="6">
        <v>2001</v>
      </c>
      <c r="C2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29" s="6">
        <f>2023-Tabella2[[#This Row],[foundation_launch_year]]</f>
        <v>22</v>
      </c>
      <c r="E29" s="6" t="s">
        <v>80</v>
      </c>
      <c r="F29" s="6" t="s">
        <v>81</v>
      </c>
      <c r="H29" s="23">
        <v>1</v>
      </c>
      <c r="I29" s="12" t="str">
        <f>IF(Tabella2[[#This Row],[upstream_dr]]+Tabella2[[#This Row],[downstream_dr]]=2, "1", " ")</f>
        <v xml:space="preserve"> </v>
      </c>
      <c r="J29" s="6"/>
      <c r="L29" s="1" t="s">
        <v>82</v>
      </c>
      <c r="M29" s="2">
        <v>35</v>
      </c>
      <c r="N2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30" spans="1:14" x14ac:dyDescent="0.35">
      <c r="A30" s="14" t="s">
        <v>83</v>
      </c>
      <c r="B30" s="6">
        <v>2006</v>
      </c>
      <c r="C3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30" s="6">
        <f>2023-Tabella2[[#This Row],[foundation_launch_year]]</f>
        <v>17</v>
      </c>
      <c r="E30" s="6" t="s">
        <v>80</v>
      </c>
      <c r="F30" s="6" t="s">
        <v>81</v>
      </c>
      <c r="H30" s="23">
        <v>1</v>
      </c>
      <c r="I30" s="12" t="str">
        <f>IF(Tabella2[[#This Row],[upstream_dr]]+Tabella2[[#This Row],[downstream_dr]]=2, "1", " ")</f>
        <v xml:space="preserve"> </v>
      </c>
      <c r="J30" s="6"/>
      <c r="L30" s="1" t="s">
        <v>84</v>
      </c>
      <c r="M30" s="2">
        <v>66</v>
      </c>
      <c r="N3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31" spans="1:14" x14ac:dyDescent="0.35">
      <c r="A31" s="14" t="s">
        <v>85</v>
      </c>
      <c r="B31" s="6">
        <v>1999</v>
      </c>
      <c r="C3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31" s="6">
        <f>2023-Tabella2[[#This Row],[foundation_launch_year]]</f>
        <v>24</v>
      </c>
      <c r="E31" s="6" t="s">
        <v>80</v>
      </c>
      <c r="F31" s="6" t="s">
        <v>81</v>
      </c>
      <c r="H31" s="12">
        <v>1</v>
      </c>
      <c r="I31" s="12" t="str">
        <f>IF(Tabella2[[#This Row],[upstream_dr]]+Tabella2[[#This Row],[downstream_dr]]=2, "1", " ")</f>
        <v xml:space="preserve"> </v>
      </c>
      <c r="J31" s="6"/>
      <c r="L31" s="1" t="s">
        <v>86</v>
      </c>
      <c r="M31" s="2">
        <v>7</v>
      </c>
      <c r="N3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32" spans="1:14" ht="14.75" customHeight="1" x14ac:dyDescent="0.35">
      <c r="A32" s="14" t="s">
        <v>87</v>
      </c>
      <c r="B32" s="6">
        <v>2017</v>
      </c>
      <c r="C3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32" s="6">
        <f>2023-Tabella2[[#This Row],[foundation_launch_year]]</f>
        <v>6</v>
      </c>
      <c r="E32" s="6" t="s">
        <v>80</v>
      </c>
      <c r="F32" s="6" t="s">
        <v>81</v>
      </c>
      <c r="I32" s="12">
        <v>1</v>
      </c>
      <c r="J32" s="6"/>
      <c r="L32" s="1" t="s">
        <v>88</v>
      </c>
      <c r="M32" s="2">
        <v>27</v>
      </c>
      <c r="N3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33" spans="1:14" ht="14.75" customHeight="1" x14ac:dyDescent="0.35">
      <c r="A33" s="14" t="s">
        <v>89</v>
      </c>
      <c r="B33" s="24">
        <v>1999</v>
      </c>
      <c r="C33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33" s="24">
        <f>2023-Tabella2[[#This Row],[foundation_launch_year]]</f>
        <v>24</v>
      </c>
      <c r="E33" s="6" t="s">
        <v>80</v>
      </c>
      <c r="F33" s="6" t="s">
        <v>81</v>
      </c>
      <c r="H33" s="23">
        <v>1</v>
      </c>
      <c r="I33" s="12" t="str">
        <f>IF(Tabella2[[#This Row],[upstream_dr]]+Tabella2[[#This Row],[downstream_dr]]=2, "1", " ")</f>
        <v xml:space="preserve"> </v>
      </c>
      <c r="J33" s="6"/>
      <c r="L33" s="1" t="s">
        <v>90</v>
      </c>
      <c r="M33" s="2">
        <v>218</v>
      </c>
      <c r="N3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34" spans="1:14" ht="14.75" customHeight="1" x14ac:dyDescent="0.35">
      <c r="A34" s="14" t="s">
        <v>91</v>
      </c>
      <c r="B34" s="6">
        <v>2017</v>
      </c>
      <c r="C3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34" s="6">
        <f>2023-Tabella2[[#This Row],[foundation_launch_year]]</f>
        <v>6</v>
      </c>
      <c r="E34" s="6" t="s">
        <v>80</v>
      </c>
      <c r="F34" s="6" t="s">
        <v>81</v>
      </c>
      <c r="H34" s="23">
        <v>1</v>
      </c>
      <c r="I34" s="12" t="str">
        <f>IF(Tabella2[[#This Row],[upstream_dr]]+Tabella2[[#This Row],[downstream_dr]]=2, "1", " ")</f>
        <v xml:space="preserve"> </v>
      </c>
      <c r="J34" s="6"/>
      <c r="L34" s="1" t="s">
        <v>92</v>
      </c>
      <c r="M34" s="2">
        <v>43</v>
      </c>
      <c r="N3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35" spans="1:14" ht="14.75" customHeight="1" x14ac:dyDescent="0.35">
      <c r="A35" s="14" t="s">
        <v>93</v>
      </c>
      <c r="B35" s="6">
        <v>1958</v>
      </c>
      <c r="C3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35" s="6">
        <f>2023-Tabella2[[#This Row],[foundation_launch_year]]</f>
        <v>65</v>
      </c>
      <c r="E35" s="6" t="s">
        <v>80</v>
      </c>
      <c r="F35" s="6" t="s">
        <v>81</v>
      </c>
      <c r="G35" s="23"/>
      <c r="H35" s="23">
        <v>1</v>
      </c>
      <c r="I35" s="12" t="str">
        <f>IF(Tabella2[[#This Row],[upstream_dr]]+Tabella2[[#This Row],[downstream_dr]]=2, "1", " ")</f>
        <v xml:space="preserve"> </v>
      </c>
      <c r="J35" s="6"/>
      <c r="L35" s="1" t="s">
        <v>94</v>
      </c>
      <c r="M35" s="2">
        <v>35</v>
      </c>
      <c r="N3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36" spans="1:14" ht="14.75" customHeight="1" x14ac:dyDescent="0.35">
      <c r="A36" s="14" t="s">
        <v>95</v>
      </c>
      <c r="B36" s="6">
        <v>2015</v>
      </c>
      <c r="C3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36" s="6">
        <f>2023-Tabella2[[#This Row],[foundation_launch_year]]</f>
        <v>8</v>
      </c>
      <c r="E36" s="6" t="s">
        <v>80</v>
      </c>
      <c r="F36" s="6" t="s">
        <v>81</v>
      </c>
      <c r="G36" s="23"/>
      <c r="H36" s="23">
        <v>1</v>
      </c>
      <c r="I36" s="12" t="str">
        <f>IF(Tabella2[[#This Row],[upstream_dr]]+Tabella2[[#This Row],[downstream_dr]]=2, "1", " ")</f>
        <v xml:space="preserve"> </v>
      </c>
      <c r="J36" s="6"/>
      <c r="L36" s="1" t="s">
        <v>96</v>
      </c>
      <c r="M36" s="2">
        <v>24</v>
      </c>
      <c r="N3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37" spans="1:14" ht="14.75" customHeight="1" x14ac:dyDescent="0.35">
      <c r="A37" s="14" t="s">
        <v>97</v>
      </c>
      <c r="B37" s="24">
        <v>1999</v>
      </c>
      <c r="C37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37" s="24">
        <f>2023-Tabella2[[#This Row],[foundation_launch_year]]</f>
        <v>24</v>
      </c>
      <c r="E37" s="6" t="s">
        <v>80</v>
      </c>
      <c r="F37" s="6" t="s">
        <v>81</v>
      </c>
      <c r="H37" s="23">
        <v>1</v>
      </c>
      <c r="I37" s="12" t="str">
        <f>IF(Tabella2[[#This Row],[upstream_dr]]+Tabella2[[#This Row],[downstream_dr]]=2, "1", " ")</f>
        <v xml:space="preserve"> </v>
      </c>
      <c r="J37" s="6"/>
      <c r="L37" s="1" t="s">
        <v>98</v>
      </c>
      <c r="M37" s="2">
        <v>87</v>
      </c>
      <c r="N3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38" spans="1:14" ht="14.75" customHeight="1" x14ac:dyDescent="0.35">
      <c r="A38" s="14" t="s">
        <v>99</v>
      </c>
      <c r="B38" s="6">
        <v>2014</v>
      </c>
      <c r="C3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38" s="6">
        <f>2023-Tabella2[[#This Row],[foundation_launch_year]]</f>
        <v>9</v>
      </c>
      <c r="E38" s="6" t="s">
        <v>80</v>
      </c>
      <c r="F38" s="6" t="s">
        <v>81</v>
      </c>
      <c r="G38" s="23">
        <v>1</v>
      </c>
      <c r="I38" s="12" t="str">
        <f>IF(Tabella2[[#This Row],[upstream_dr]]+Tabella2[[#This Row],[downstream_dr]]=2, "1", " ")</f>
        <v xml:space="preserve"> </v>
      </c>
      <c r="J38" s="6"/>
      <c r="L38" s="1" t="s">
        <v>100</v>
      </c>
      <c r="M38" s="2">
        <v>361</v>
      </c>
      <c r="N3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39" spans="1:14" ht="14.75" customHeight="1" x14ac:dyDescent="0.35">
      <c r="A39" s="14" t="s">
        <v>101</v>
      </c>
      <c r="B39" s="6">
        <v>1986</v>
      </c>
      <c r="C3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39" s="6">
        <f>2023-Tabella2[[#This Row],[foundation_launch_year]]</f>
        <v>37</v>
      </c>
      <c r="E39" s="6" t="s">
        <v>80</v>
      </c>
      <c r="F39" s="6" t="s">
        <v>81</v>
      </c>
      <c r="G39" s="23">
        <v>1</v>
      </c>
      <c r="I39" s="12" t="str">
        <f>IF(Tabella2[[#This Row],[upstream_dr]]+Tabella2[[#This Row],[downstream_dr]]=2, "1", " ")</f>
        <v xml:space="preserve"> </v>
      </c>
      <c r="J39" s="6"/>
      <c r="L39" s="1" t="s">
        <v>102</v>
      </c>
      <c r="M39" s="2">
        <v>555</v>
      </c>
      <c r="N3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40" spans="1:14" ht="14.75" customHeight="1" x14ac:dyDescent="0.35">
      <c r="A40" s="14" t="s">
        <v>103</v>
      </c>
      <c r="B40" s="6">
        <v>2001</v>
      </c>
      <c r="C4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40" s="6">
        <f>2023-Tabella2[[#This Row],[foundation_launch_year]]</f>
        <v>22</v>
      </c>
      <c r="E40" s="6" t="s">
        <v>80</v>
      </c>
      <c r="F40" s="6" t="s">
        <v>81</v>
      </c>
      <c r="G40" s="12">
        <v>1</v>
      </c>
      <c r="I40" s="12" t="str">
        <f>IF(Tabella2[[#This Row],[upstream_dr]]+Tabella2[[#This Row],[downstream_dr]]=2, "1", " ")</f>
        <v xml:space="preserve"> </v>
      </c>
      <c r="J40" s="6"/>
      <c r="L40" s="1" t="s">
        <v>104</v>
      </c>
      <c r="M40" s="2">
        <v>291</v>
      </c>
      <c r="N4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41" spans="1:14" ht="14.75" customHeight="1" x14ac:dyDescent="0.35">
      <c r="A41" s="14" t="s">
        <v>105</v>
      </c>
      <c r="B41" s="6">
        <v>2001</v>
      </c>
      <c r="C4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41" s="6">
        <f>2023-Tabella2[[#This Row],[foundation_launch_year]]</f>
        <v>22</v>
      </c>
      <c r="E41" s="6" t="s">
        <v>80</v>
      </c>
      <c r="F41" s="6" t="s">
        <v>81</v>
      </c>
      <c r="G41" s="23">
        <v>1</v>
      </c>
      <c r="I41" s="12" t="str">
        <f>IF(Tabella2[[#This Row],[upstream_dr]]+Tabella2[[#This Row],[downstream_dr]]=2, "1", " ")</f>
        <v xml:space="preserve"> </v>
      </c>
      <c r="J41" s="6"/>
      <c r="L41" s="1" t="s">
        <v>106</v>
      </c>
      <c r="M41" s="2">
        <v>24</v>
      </c>
      <c r="N4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42" spans="1:14" ht="14.75" customHeight="1" x14ac:dyDescent="0.35">
      <c r="A42" s="14" t="s">
        <v>107</v>
      </c>
      <c r="B42" s="6">
        <v>1980</v>
      </c>
      <c r="C4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42" s="6">
        <f>2023-Tabella2[[#This Row],[foundation_launch_year]]</f>
        <v>43</v>
      </c>
      <c r="E42" s="6" t="s">
        <v>80</v>
      </c>
      <c r="F42" s="6" t="s">
        <v>81</v>
      </c>
      <c r="G42" s="23">
        <v>1</v>
      </c>
      <c r="I42" s="12" t="str">
        <f>IF(Tabella2[[#This Row],[upstream_dr]]+Tabella2[[#This Row],[downstream_dr]]=2, "1", " ")</f>
        <v xml:space="preserve"> </v>
      </c>
      <c r="J42" s="6"/>
      <c r="L42" s="1" t="s">
        <v>108</v>
      </c>
      <c r="M42" s="2">
        <v>9</v>
      </c>
      <c r="N4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43" spans="1:14" ht="14.75" customHeight="1" x14ac:dyDescent="0.35">
      <c r="A43" s="7" t="s">
        <v>109</v>
      </c>
      <c r="B43" s="6">
        <v>1990</v>
      </c>
      <c r="C4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43" s="6">
        <f>2023-Tabella2[[#This Row],[foundation_launch_year]]</f>
        <v>33</v>
      </c>
      <c r="E43" s="6" t="s">
        <v>110</v>
      </c>
      <c r="F43" s="6" t="s">
        <v>111</v>
      </c>
      <c r="H43" s="23">
        <v>1</v>
      </c>
      <c r="I43" s="12" t="str">
        <f>IF(Tabella2[[#This Row],[upstream_dr]]+Tabella2[[#This Row],[downstream_dr]]=2, "1", " ")</f>
        <v xml:space="preserve"> </v>
      </c>
      <c r="J43" s="6"/>
      <c r="L43" s="1" t="s">
        <v>112</v>
      </c>
      <c r="M43" s="2">
        <v>8</v>
      </c>
      <c r="N4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44" spans="1:14" ht="14.75" customHeight="1" x14ac:dyDescent="0.35">
      <c r="A44" s="14" t="s">
        <v>113</v>
      </c>
      <c r="B44" s="6">
        <v>2014</v>
      </c>
      <c r="C4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44" s="6">
        <f>2023-Tabella2[[#This Row],[foundation_launch_year]]</f>
        <v>9</v>
      </c>
      <c r="E44" s="6" t="s">
        <v>110</v>
      </c>
      <c r="F44" s="6" t="s">
        <v>111</v>
      </c>
      <c r="G44" s="23"/>
      <c r="H44" s="23">
        <v>1</v>
      </c>
      <c r="I44" s="12" t="str">
        <f>IF(Tabella2[[#This Row],[upstream_dr]]+Tabella2[[#This Row],[downstream_dr]]=2, "1", " ")</f>
        <v xml:space="preserve"> </v>
      </c>
      <c r="J44" s="6"/>
      <c r="L44" s="1" t="s">
        <v>114</v>
      </c>
      <c r="M44" s="2">
        <v>2</v>
      </c>
      <c r="N4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45" spans="1:14" ht="14.75" customHeight="1" x14ac:dyDescent="0.35">
      <c r="A45" s="14" t="s">
        <v>115</v>
      </c>
      <c r="B45" s="6">
        <v>2000</v>
      </c>
      <c r="C4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45" s="6">
        <f>2023-Tabella2[[#This Row],[foundation_launch_year]]</f>
        <v>23</v>
      </c>
      <c r="E45" s="6" t="s">
        <v>110</v>
      </c>
      <c r="F45" s="6" t="s">
        <v>111</v>
      </c>
      <c r="G45" s="23"/>
      <c r="H45" s="23"/>
      <c r="I45" s="12">
        <v>1</v>
      </c>
      <c r="J45" s="6"/>
      <c r="L45" s="1" t="s">
        <v>116</v>
      </c>
      <c r="M45" s="2">
        <v>18</v>
      </c>
      <c r="N4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46" spans="1:14" ht="14.75" customHeight="1" x14ac:dyDescent="0.35">
      <c r="A46" s="14" t="s">
        <v>117</v>
      </c>
      <c r="B46" s="6">
        <v>1954</v>
      </c>
      <c r="C4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46" s="6">
        <f>2023-Tabella2[[#This Row],[foundation_launch_year]]</f>
        <v>69</v>
      </c>
      <c r="E46" s="6" t="s">
        <v>110</v>
      </c>
      <c r="F46" s="6" t="s">
        <v>111</v>
      </c>
      <c r="G46" s="23"/>
      <c r="H46" s="23">
        <v>1</v>
      </c>
      <c r="I46" s="12" t="str">
        <f>IF(Tabella2[[#This Row],[upstream_dr]]+Tabella2[[#This Row],[downstream_dr]]=2, "1", " ")</f>
        <v xml:space="preserve"> </v>
      </c>
      <c r="J46" s="6"/>
      <c r="L46" s="1" t="s">
        <v>118</v>
      </c>
      <c r="M46" s="2">
        <v>325</v>
      </c>
      <c r="N4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47" spans="1:14" ht="14.75" customHeight="1" x14ac:dyDescent="0.35">
      <c r="A47" s="14" t="s">
        <v>119</v>
      </c>
      <c r="B47" s="6">
        <v>2012</v>
      </c>
      <c r="C4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47" s="6">
        <f>2023-Tabella2[[#This Row],[foundation_launch_year]]</f>
        <v>11</v>
      </c>
      <c r="E47" s="6" t="s">
        <v>110</v>
      </c>
      <c r="F47" s="6" t="s">
        <v>111</v>
      </c>
      <c r="G47" s="23"/>
      <c r="H47" s="23">
        <v>1</v>
      </c>
      <c r="I47" s="12" t="str">
        <f>IF(Tabella2[[#This Row],[upstream_dr]]+Tabella2[[#This Row],[downstream_dr]]=2, "1", " ")</f>
        <v xml:space="preserve"> </v>
      </c>
      <c r="J47" s="6"/>
      <c r="L47" s="1" t="s">
        <v>120</v>
      </c>
      <c r="M47" s="2">
        <v>4</v>
      </c>
      <c r="N4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48" spans="1:14" ht="14.75" customHeight="1" x14ac:dyDescent="0.35">
      <c r="A48" s="14" t="s">
        <v>121</v>
      </c>
      <c r="B48" s="6">
        <v>2000</v>
      </c>
      <c r="C4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48" s="6">
        <f>2023-Tabella2[[#This Row],[foundation_launch_year]]</f>
        <v>23</v>
      </c>
      <c r="E48" s="6" t="s">
        <v>110</v>
      </c>
      <c r="F48" s="6" t="s">
        <v>111</v>
      </c>
      <c r="G48" s="23"/>
      <c r="H48" s="23">
        <v>1</v>
      </c>
      <c r="I48" s="12" t="str">
        <f>IF(Tabella2[[#This Row],[upstream_dr]]+Tabella2[[#This Row],[downstream_dr]]=2, "1", " ")</f>
        <v xml:space="preserve"> </v>
      </c>
      <c r="J48" s="6"/>
      <c r="L48" s="1" t="s">
        <v>122</v>
      </c>
      <c r="M48" s="2">
        <v>118</v>
      </c>
      <c r="N4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49" spans="1:14" ht="14.75" customHeight="1" x14ac:dyDescent="0.35">
      <c r="A49" s="14" t="s">
        <v>123</v>
      </c>
      <c r="B49" s="24">
        <v>1990</v>
      </c>
      <c r="C49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49" s="24">
        <f>2023-Tabella2[[#This Row],[foundation_launch_year]]</f>
        <v>33</v>
      </c>
      <c r="E49" s="6" t="s">
        <v>110</v>
      </c>
      <c r="F49" s="6" t="s">
        <v>111</v>
      </c>
      <c r="G49" s="23"/>
      <c r="H49" s="23">
        <v>1</v>
      </c>
      <c r="I49" s="12" t="str">
        <f>IF(Tabella2[[#This Row],[upstream_dr]]+Tabella2[[#This Row],[downstream_dr]]=2, "1", " ")</f>
        <v xml:space="preserve"> </v>
      </c>
      <c r="J49" s="6"/>
      <c r="L49" s="1" t="s">
        <v>124</v>
      </c>
      <c r="M49" s="2">
        <v>3</v>
      </c>
      <c r="N4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50" spans="1:14" ht="14.75" customHeight="1" x14ac:dyDescent="0.35">
      <c r="A50" s="14" t="s">
        <v>125</v>
      </c>
      <c r="B50" s="6">
        <v>1964</v>
      </c>
      <c r="C5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50" s="6">
        <f>2023-Tabella2[[#This Row],[foundation_launch_year]]</f>
        <v>59</v>
      </c>
      <c r="E50" s="6" t="s">
        <v>110</v>
      </c>
      <c r="F50" s="6" t="s">
        <v>111</v>
      </c>
      <c r="G50" s="23">
        <v>1</v>
      </c>
      <c r="H50" s="23"/>
      <c r="I50" s="12" t="str">
        <f>IF(Tabella2[[#This Row],[upstream_dr]]+Tabella2[[#This Row],[downstream_dr]]=2, "1", " ")</f>
        <v xml:space="preserve"> </v>
      </c>
      <c r="J50" s="6"/>
      <c r="L50" s="1" t="s">
        <v>126</v>
      </c>
      <c r="M50" s="2">
        <v>2</v>
      </c>
      <c r="N5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51" spans="1:14" ht="14.75" customHeight="1" x14ac:dyDescent="0.35">
      <c r="A51" s="7" t="s">
        <v>127</v>
      </c>
      <c r="B51" s="6">
        <v>2017</v>
      </c>
      <c r="C5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51" s="6">
        <f>2023-Tabella2[[#This Row],[foundation_launch_year]]</f>
        <v>6</v>
      </c>
      <c r="E51" s="6" t="s">
        <v>110</v>
      </c>
      <c r="F51" s="6" t="s">
        <v>111</v>
      </c>
      <c r="G51" s="12">
        <v>1</v>
      </c>
      <c r="I51" s="12" t="str">
        <f>IF(Tabella2[[#This Row],[upstream_dr]]+Tabella2[[#This Row],[downstream_dr]]=2, "1", " ")</f>
        <v xml:space="preserve"> </v>
      </c>
      <c r="J51" s="6"/>
      <c r="L51" s="1" t="s">
        <v>128</v>
      </c>
      <c r="M51" s="2">
        <v>7</v>
      </c>
      <c r="N5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52" spans="1:14" ht="14.75" customHeight="1" x14ac:dyDescent="0.35">
      <c r="A52" s="7" t="s">
        <v>129</v>
      </c>
      <c r="B52" s="6">
        <v>2013</v>
      </c>
      <c r="C5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52" s="6">
        <f>2023-Tabella2[[#This Row],[foundation_launch_year]]</f>
        <v>10</v>
      </c>
      <c r="E52" s="6" t="s">
        <v>130</v>
      </c>
      <c r="F52" s="6" t="s">
        <v>131</v>
      </c>
      <c r="H52" s="12">
        <v>1</v>
      </c>
      <c r="I52" s="12" t="str">
        <f>IF(Tabella2[[#This Row],[upstream_dr]]+Tabella2[[#This Row],[downstream_dr]]=2, "1", " ")</f>
        <v xml:space="preserve"> </v>
      </c>
      <c r="J52" s="6"/>
      <c r="L52" s="1" t="s">
        <v>132</v>
      </c>
      <c r="M52" s="2">
        <v>4</v>
      </c>
      <c r="N5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53" spans="1:14" ht="14.75" customHeight="1" x14ac:dyDescent="0.35">
      <c r="A53" s="14" t="s">
        <v>133</v>
      </c>
      <c r="B53" s="6">
        <v>2007</v>
      </c>
      <c r="C5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53" s="6">
        <f>2023-Tabella2[[#This Row],[foundation_launch_year]]</f>
        <v>16</v>
      </c>
      <c r="E53" s="6" t="s">
        <v>130</v>
      </c>
      <c r="F53" s="6" t="s">
        <v>131</v>
      </c>
      <c r="G53" s="12">
        <v>1</v>
      </c>
      <c r="I53" s="12" t="str">
        <f>IF(Tabella2[[#This Row],[upstream_dr]]+Tabella2[[#This Row],[downstream_dr]]=2, "1", " ")</f>
        <v xml:space="preserve"> </v>
      </c>
      <c r="J53" s="6"/>
      <c r="L53" s="1" t="s">
        <v>134</v>
      </c>
      <c r="M53" s="2">
        <v>17</v>
      </c>
      <c r="N5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54" spans="1:14" ht="14.75" customHeight="1" x14ac:dyDescent="0.35">
      <c r="A54" s="14" t="s">
        <v>135</v>
      </c>
      <c r="B54" s="6">
        <v>2017</v>
      </c>
      <c r="C5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54" s="6">
        <f>2023-Tabella2[[#This Row],[foundation_launch_year]]</f>
        <v>6</v>
      </c>
      <c r="E54" s="6" t="s">
        <v>130</v>
      </c>
      <c r="F54" s="6" t="s">
        <v>131</v>
      </c>
      <c r="I54" s="12">
        <v>1</v>
      </c>
      <c r="J54" s="6"/>
      <c r="L54" s="1" t="s">
        <v>136</v>
      </c>
      <c r="M54" s="2">
        <v>20</v>
      </c>
      <c r="N5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55" spans="1:14" ht="14.75" customHeight="1" x14ac:dyDescent="0.35">
      <c r="A55" s="14" t="s">
        <v>137</v>
      </c>
      <c r="B55" s="6">
        <v>2017</v>
      </c>
      <c r="C5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55" s="6">
        <f>2023-Tabella2[[#This Row],[foundation_launch_year]]</f>
        <v>6</v>
      </c>
      <c r="E55" s="6" t="s">
        <v>130</v>
      </c>
      <c r="F55" s="6" t="s">
        <v>131</v>
      </c>
      <c r="H55" s="23">
        <v>1</v>
      </c>
      <c r="I55" s="12" t="str">
        <f>IF(Tabella2[[#This Row],[upstream_dr]]+Tabella2[[#This Row],[downstream_dr]]=2, "1", " ")</f>
        <v xml:space="preserve"> </v>
      </c>
      <c r="J55" s="6"/>
      <c r="L55" s="1" t="s">
        <v>138</v>
      </c>
      <c r="M55" s="2">
        <v>2</v>
      </c>
      <c r="N5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56" spans="1:14" ht="14.75" customHeight="1" x14ac:dyDescent="0.35">
      <c r="A56" s="14" t="s">
        <v>139</v>
      </c>
      <c r="B56" s="6">
        <v>2015</v>
      </c>
      <c r="C5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56" s="6">
        <f>2023-Tabella2[[#This Row],[foundation_launch_year]]</f>
        <v>8</v>
      </c>
      <c r="E56" s="6" t="s">
        <v>110</v>
      </c>
      <c r="F56" s="6" t="s">
        <v>140</v>
      </c>
      <c r="H56" s="12">
        <v>1</v>
      </c>
      <c r="I56" s="12" t="str">
        <f>IF(Tabella2[[#This Row],[upstream_dr]]+Tabella2[[#This Row],[downstream_dr]]=2, "1", " ")</f>
        <v xml:space="preserve"> </v>
      </c>
      <c r="J56" s="6"/>
      <c r="K56" s="6"/>
      <c r="L56" s="1" t="s">
        <v>141</v>
      </c>
      <c r="M56" s="2">
        <v>9</v>
      </c>
      <c r="N5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57" spans="1:14" ht="14.75" customHeight="1" x14ac:dyDescent="0.35">
      <c r="A57" s="14" t="s">
        <v>142</v>
      </c>
      <c r="B57" s="6">
        <v>2016</v>
      </c>
      <c r="C5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57" s="6">
        <f>2023-Tabella2[[#This Row],[foundation_launch_year]]</f>
        <v>7</v>
      </c>
      <c r="E57" s="6" t="s">
        <v>110</v>
      </c>
      <c r="F57" s="6" t="s">
        <v>140</v>
      </c>
      <c r="H57" s="12">
        <v>1</v>
      </c>
      <c r="I57" s="12" t="str">
        <f>IF(Tabella2[[#This Row],[upstream_dr]]+Tabella2[[#This Row],[downstream_dr]]=2, "1", " ")</f>
        <v xml:space="preserve"> </v>
      </c>
      <c r="J57" s="6"/>
      <c r="K57" s="6"/>
      <c r="L57" s="1" t="s">
        <v>143</v>
      </c>
      <c r="M57" s="2">
        <v>3</v>
      </c>
      <c r="N5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58" spans="1:14" ht="14.75" customHeight="1" x14ac:dyDescent="0.35">
      <c r="A58" s="14" t="s">
        <v>144</v>
      </c>
      <c r="B58" s="6">
        <v>2010</v>
      </c>
      <c r="C5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58" s="6">
        <f>2023-Tabella2[[#This Row],[foundation_launch_year]]</f>
        <v>13</v>
      </c>
      <c r="E58" s="6" t="s">
        <v>110</v>
      </c>
      <c r="F58" s="6" t="s">
        <v>140</v>
      </c>
      <c r="I58" s="12">
        <v>1</v>
      </c>
      <c r="J58" s="6"/>
      <c r="K58" s="6"/>
      <c r="L58" s="1" t="s">
        <v>145</v>
      </c>
      <c r="M58" s="2">
        <v>2</v>
      </c>
      <c r="N5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59" spans="1:14" ht="14.75" customHeight="1" x14ac:dyDescent="0.35">
      <c r="A59" s="7" t="s">
        <v>146</v>
      </c>
      <c r="B59" s="6">
        <v>2012</v>
      </c>
      <c r="C5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59" s="6">
        <f>2023-Tabella2[[#This Row],[foundation_launch_year]]</f>
        <v>11</v>
      </c>
      <c r="E59" s="6" t="s">
        <v>130</v>
      </c>
      <c r="F59" s="6" t="s">
        <v>147</v>
      </c>
      <c r="G59" s="23"/>
      <c r="H59" s="23"/>
      <c r="I59" s="12">
        <v>1</v>
      </c>
      <c r="J59" s="6"/>
      <c r="K59" s="6"/>
      <c r="L59" s="1" t="s">
        <v>148</v>
      </c>
      <c r="M59" s="2">
        <v>41</v>
      </c>
      <c r="N5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60" spans="1:14" ht="14.75" customHeight="1" x14ac:dyDescent="0.35">
      <c r="A60" s="7" t="s">
        <v>149</v>
      </c>
      <c r="B60" s="6">
        <v>1977</v>
      </c>
      <c r="C6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60" s="6">
        <f>2023-Tabella2[[#This Row],[foundation_launch_year]]</f>
        <v>46</v>
      </c>
      <c r="E60" s="6" t="s">
        <v>130</v>
      </c>
      <c r="F60" s="6" t="s">
        <v>147</v>
      </c>
      <c r="H60" s="23">
        <v>1</v>
      </c>
      <c r="I60" s="12" t="str">
        <f>IF(Tabella2[[#This Row],[upstream_dr]]+Tabella2[[#This Row],[downstream_dr]]=2, "1", " ")</f>
        <v xml:space="preserve"> </v>
      </c>
      <c r="J60" s="6"/>
      <c r="K60" s="6"/>
      <c r="L60" s="1" t="s">
        <v>150</v>
      </c>
      <c r="M60" s="2">
        <v>66</v>
      </c>
      <c r="N6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61" spans="1:14" ht="14.75" customHeight="1" x14ac:dyDescent="0.35">
      <c r="A61" s="7" t="s">
        <v>151</v>
      </c>
      <c r="B61" s="6">
        <v>2013</v>
      </c>
      <c r="C6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61" s="6">
        <f>2023-Tabella2[[#This Row],[foundation_launch_year]]</f>
        <v>10</v>
      </c>
      <c r="E61" s="6" t="s">
        <v>130</v>
      </c>
      <c r="F61" s="6" t="s">
        <v>147</v>
      </c>
      <c r="H61" s="23">
        <v>1</v>
      </c>
      <c r="I61" s="12" t="str">
        <f>IF(Tabella2[[#This Row],[upstream_dr]]+Tabella2[[#This Row],[downstream_dr]]=2, "1", " ")</f>
        <v xml:space="preserve"> </v>
      </c>
      <c r="J61" s="6"/>
      <c r="K61" s="6"/>
      <c r="L61" s="1" t="s">
        <v>152</v>
      </c>
      <c r="M61" s="2">
        <v>9</v>
      </c>
      <c r="N6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62" spans="1:14" ht="14.75" customHeight="1" x14ac:dyDescent="0.35">
      <c r="A62" s="14" t="s">
        <v>153</v>
      </c>
      <c r="B62" s="6">
        <v>2019</v>
      </c>
      <c r="C6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62" s="6">
        <f>2023-Tabella2[[#This Row],[foundation_launch_year]]</f>
        <v>4</v>
      </c>
      <c r="E62" s="6" t="s">
        <v>130</v>
      </c>
      <c r="F62" s="6" t="s">
        <v>147</v>
      </c>
      <c r="H62" s="12">
        <v>1</v>
      </c>
      <c r="I62" s="12" t="str">
        <f>IF(Tabella2[[#This Row],[upstream_dr]]+Tabella2[[#This Row],[downstream_dr]]=2, "1", " ")</f>
        <v xml:space="preserve"> </v>
      </c>
      <c r="J62" s="6"/>
      <c r="K62" s="6"/>
      <c r="L62" s="1" t="s">
        <v>154</v>
      </c>
      <c r="M62" s="2">
        <v>16</v>
      </c>
      <c r="N6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63" spans="1:14" ht="14.75" customHeight="1" x14ac:dyDescent="0.35">
      <c r="A63" s="14" t="s">
        <v>155</v>
      </c>
      <c r="B63" s="6">
        <v>2017</v>
      </c>
      <c r="C6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63" s="6">
        <f>2023-Tabella2[[#This Row],[foundation_launch_year]]</f>
        <v>6</v>
      </c>
      <c r="E63" s="6" t="s">
        <v>130</v>
      </c>
      <c r="F63" s="6" t="s">
        <v>147</v>
      </c>
      <c r="I63" s="12">
        <v>1</v>
      </c>
      <c r="J63" s="6"/>
      <c r="K63" s="6"/>
      <c r="L63" s="1" t="s">
        <v>156</v>
      </c>
      <c r="M63" s="2">
        <v>12</v>
      </c>
      <c r="N6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64" spans="1:14" ht="14.75" customHeight="1" x14ac:dyDescent="0.35">
      <c r="A64" s="8" t="s">
        <v>157</v>
      </c>
      <c r="B64" s="6">
        <v>2005</v>
      </c>
      <c r="C6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64" s="6">
        <f>2023-Tabella2[[#This Row],[foundation_launch_year]]</f>
        <v>18</v>
      </c>
      <c r="E64" s="6" t="s">
        <v>130</v>
      </c>
      <c r="F64" s="6" t="s">
        <v>147</v>
      </c>
      <c r="G64" s="23">
        <v>1</v>
      </c>
      <c r="I64" s="12" t="str">
        <f>IF(Tabella2[[#This Row],[upstream_dr]]+Tabella2[[#This Row],[downstream_dr]]=2, "1", " ")</f>
        <v xml:space="preserve"> </v>
      </c>
      <c r="J64" s="6"/>
      <c r="K64" s="6"/>
      <c r="L64" s="1" t="s">
        <v>158</v>
      </c>
      <c r="M64" s="2">
        <v>189</v>
      </c>
      <c r="N6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65" spans="1:14" ht="14.75" customHeight="1" x14ac:dyDescent="0.35">
      <c r="A65" s="18" t="s">
        <v>159</v>
      </c>
      <c r="B65" s="6">
        <v>2015</v>
      </c>
      <c r="C6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65" s="6">
        <f>2023-Tabella2[[#This Row],[foundation_launch_year]]</f>
        <v>8</v>
      </c>
      <c r="E65" s="6" t="s">
        <v>130</v>
      </c>
      <c r="F65" s="6" t="s">
        <v>147</v>
      </c>
      <c r="G65" s="12">
        <v>1</v>
      </c>
      <c r="I65" s="12" t="str">
        <f>IF(Tabella2[[#This Row],[upstream_dr]]+Tabella2[[#This Row],[downstream_dr]]=2, "1", " ")</f>
        <v xml:space="preserve"> </v>
      </c>
      <c r="J65" s="6"/>
      <c r="K65" s="6"/>
      <c r="L65" s="9" t="s">
        <v>160</v>
      </c>
      <c r="M65" s="4">
        <v>52</v>
      </c>
      <c r="N6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66" spans="1:14" ht="14.75" customHeight="1" x14ac:dyDescent="0.35">
      <c r="A66" s="18" t="s">
        <v>161</v>
      </c>
      <c r="B66" s="6">
        <v>2017</v>
      </c>
      <c r="C6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66" s="6">
        <f>2023-Tabella2[[#This Row],[foundation_launch_year]]</f>
        <v>6</v>
      </c>
      <c r="E66" s="6" t="s">
        <v>130</v>
      </c>
      <c r="F66" s="6" t="s">
        <v>147</v>
      </c>
      <c r="G66" s="12">
        <v>1</v>
      </c>
      <c r="I66" s="12" t="str">
        <f>IF(Tabella2[[#This Row],[upstream_dr]]+Tabella2[[#This Row],[downstream_dr]]=2, "1", " ")</f>
        <v xml:space="preserve"> </v>
      </c>
      <c r="J66" s="6"/>
      <c r="K66" s="6"/>
      <c r="L66" s="9" t="s">
        <v>162</v>
      </c>
      <c r="M66" s="4">
        <v>81</v>
      </c>
      <c r="N6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67" spans="1:14" ht="14.75" customHeight="1" x14ac:dyDescent="0.35">
      <c r="A67" s="14" t="s">
        <v>163</v>
      </c>
      <c r="B67" s="6">
        <v>2015</v>
      </c>
      <c r="C6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67" s="6">
        <f>2023-Tabella2[[#This Row],[foundation_launch_year]]</f>
        <v>8</v>
      </c>
      <c r="E67" s="6" t="s">
        <v>130</v>
      </c>
      <c r="F67" s="6" t="s">
        <v>147</v>
      </c>
      <c r="H67" s="12">
        <v>1</v>
      </c>
      <c r="I67" s="12" t="str">
        <f>IF(Tabella2[[#This Row],[upstream_dr]]+Tabella2[[#This Row],[downstream_dr]]=2, "1", " ")</f>
        <v xml:space="preserve"> </v>
      </c>
      <c r="J67" s="6"/>
      <c r="K67" s="6"/>
      <c r="L67" s="1" t="s">
        <v>164</v>
      </c>
      <c r="M67" s="2">
        <v>6</v>
      </c>
      <c r="N6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68" spans="1:14" ht="14.75" customHeight="1" x14ac:dyDescent="0.35">
      <c r="A68" s="14" t="s">
        <v>165</v>
      </c>
      <c r="B68" s="6">
        <v>2013</v>
      </c>
      <c r="C6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68" s="6">
        <f>2023-Tabella2[[#This Row],[foundation_launch_year]]</f>
        <v>10</v>
      </c>
      <c r="E68" s="6" t="s">
        <v>130</v>
      </c>
      <c r="F68" s="6" t="s">
        <v>147</v>
      </c>
      <c r="G68" s="12">
        <v>1</v>
      </c>
      <c r="I68" s="12" t="str">
        <f>IF(Tabella2[[#This Row],[upstream_dr]]+Tabella2[[#This Row],[downstream_dr]]=2, "1", " ")</f>
        <v xml:space="preserve"> </v>
      </c>
      <c r="J68" s="6"/>
      <c r="K68" s="6"/>
      <c r="L68" s="1" t="s">
        <v>166</v>
      </c>
      <c r="M68" s="2">
        <v>4</v>
      </c>
      <c r="N6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69" spans="1:14" ht="14.75" customHeight="1" x14ac:dyDescent="0.35">
      <c r="A69" s="14" t="s">
        <v>167</v>
      </c>
      <c r="B69" s="6">
        <v>2019</v>
      </c>
      <c r="C6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69" s="6">
        <f>2023-Tabella2[[#This Row],[foundation_launch_year]]</f>
        <v>4</v>
      </c>
      <c r="E69" s="6" t="s">
        <v>130</v>
      </c>
      <c r="F69" s="6" t="s">
        <v>147</v>
      </c>
      <c r="G69" s="12">
        <v>1</v>
      </c>
      <c r="I69" s="12" t="str">
        <f>IF(Tabella2[[#This Row],[upstream_dr]]+Tabella2[[#This Row],[downstream_dr]]=2, "1", " ")</f>
        <v xml:space="preserve"> </v>
      </c>
      <c r="J69" s="6"/>
      <c r="L69" s="1" t="s">
        <v>168</v>
      </c>
      <c r="M69" s="2">
        <v>6</v>
      </c>
      <c r="N6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70" spans="1:14" ht="14.75" customHeight="1" x14ac:dyDescent="0.35">
      <c r="A70" s="14" t="s">
        <v>169</v>
      </c>
      <c r="B70" s="6">
        <v>2016</v>
      </c>
      <c r="C7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70" s="6">
        <f>2023-Tabella2[[#This Row],[foundation_launch_year]]</f>
        <v>7</v>
      </c>
      <c r="E70" s="6" t="s">
        <v>130</v>
      </c>
      <c r="F70" s="6" t="s">
        <v>147</v>
      </c>
      <c r="H70" s="12">
        <v>1</v>
      </c>
      <c r="I70" s="12" t="str">
        <f>IF(Tabella2[[#This Row],[upstream_dr]]+Tabella2[[#This Row],[downstream_dr]]=2, "1", " ")</f>
        <v xml:space="preserve"> </v>
      </c>
      <c r="J70" s="6"/>
      <c r="L70" s="1" t="s">
        <v>170</v>
      </c>
      <c r="M70" s="2">
        <v>8</v>
      </c>
      <c r="N7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71" spans="1:14" ht="14.75" customHeight="1" x14ac:dyDescent="0.35">
      <c r="A71" s="14" t="s">
        <v>171</v>
      </c>
      <c r="B71" s="6">
        <v>2012</v>
      </c>
      <c r="C7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71" s="6">
        <f>2023-Tabella2[[#This Row],[foundation_launch_year]]</f>
        <v>11</v>
      </c>
      <c r="E71" s="6" t="s">
        <v>130</v>
      </c>
      <c r="F71" s="6" t="s">
        <v>147</v>
      </c>
      <c r="H71" s="12">
        <v>1</v>
      </c>
      <c r="I71" s="12" t="str">
        <f>IF(Tabella2[[#This Row],[upstream_dr]]+Tabella2[[#This Row],[downstream_dr]]=2, "1", " ")</f>
        <v xml:space="preserve"> </v>
      </c>
      <c r="J71" s="6"/>
      <c r="L71" s="1" t="s">
        <v>172</v>
      </c>
      <c r="M71" s="2">
        <v>70</v>
      </c>
      <c r="N7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72" spans="1:14" ht="14.75" customHeight="1" x14ac:dyDescent="0.35">
      <c r="A72" s="14" t="s">
        <v>173</v>
      </c>
      <c r="B72" s="6">
        <v>2018</v>
      </c>
      <c r="C7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72" s="6">
        <f>2023-Tabella2[[#This Row],[foundation_launch_year]]</f>
        <v>5</v>
      </c>
      <c r="E72" s="6" t="s">
        <v>130</v>
      </c>
      <c r="F72" s="6" t="s">
        <v>147</v>
      </c>
      <c r="H72" s="12">
        <v>1</v>
      </c>
      <c r="I72" s="12" t="str">
        <f>IF(Tabella2[[#This Row],[upstream_dr]]+Tabella2[[#This Row],[downstream_dr]]=2, "1", " ")</f>
        <v xml:space="preserve"> </v>
      </c>
      <c r="J72" s="6"/>
      <c r="L72" s="1" t="s">
        <v>174</v>
      </c>
      <c r="M72" s="2">
        <v>15</v>
      </c>
      <c r="N7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73" spans="1:14" ht="14.75" customHeight="1" x14ac:dyDescent="0.35">
      <c r="A73" s="14" t="s">
        <v>175</v>
      </c>
      <c r="B73" s="6">
        <v>2010</v>
      </c>
      <c r="C7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73" s="6">
        <f>2023-Tabella2[[#This Row],[foundation_launch_year]]</f>
        <v>13</v>
      </c>
      <c r="E73" s="6" t="s">
        <v>130</v>
      </c>
      <c r="F73" s="6" t="s">
        <v>147</v>
      </c>
      <c r="G73" s="23"/>
      <c r="H73" s="23">
        <v>1</v>
      </c>
      <c r="I73" s="12" t="str">
        <f>IF(Tabella2[[#This Row],[upstream_dr]]+Tabella2[[#This Row],[downstream_dr]]=2, "1", " ")</f>
        <v xml:space="preserve"> </v>
      </c>
      <c r="J73" s="6"/>
      <c r="L73" s="1" t="s">
        <v>176</v>
      </c>
      <c r="M73" s="2">
        <v>13</v>
      </c>
      <c r="N7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74" spans="1:14" ht="14.75" customHeight="1" x14ac:dyDescent="0.35">
      <c r="A74" s="14" t="s">
        <v>177</v>
      </c>
      <c r="B74" s="6">
        <v>2011</v>
      </c>
      <c r="C7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74" s="6">
        <f>2023-Tabella2[[#This Row],[foundation_launch_year]]</f>
        <v>12</v>
      </c>
      <c r="E74" s="6" t="s">
        <v>130</v>
      </c>
      <c r="F74" s="6" t="s">
        <v>147</v>
      </c>
      <c r="G74" s="23"/>
      <c r="H74" s="23">
        <v>1</v>
      </c>
      <c r="I74" s="12" t="str">
        <f>IF(Tabella2[[#This Row],[upstream_dr]]+Tabella2[[#This Row],[downstream_dr]]=2, "1", " ")</f>
        <v xml:space="preserve"> </v>
      </c>
      <c r="J74" s="6"/>
      <c r="L74" s="1" t="s">
        <v>178</v>
      </c>
      <c r="M74" s="2">
        <v>16</v>
      </c>
      <c r="N7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75" spans="1:14" ht="14.75" customHeight="1" x14ac:dyDescent="0.35">
      <c r="A75" s="14" t="s">
        <v>179</v>
      </c>
      <c r="B75" s="6">
        <v>1921</v>
      </c>
      <c r="C7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75" s="6">
        <f>2023-Tabella2[[#This Row],[foundation_launch_year]]</f>
        <v>102</v>
      </c>
      <c r="E75" s="6" t="s">
        <v>130</v>
      </c>
      <c r="F75" s="6" t="s">
        <v>147</v>
      </c>
      <c r="G75" s="23">
        <v>1</v>
      </c>
      <c r="H75" s="23"/>
      <c r="I75" s="12" t="str">
        <f>IF(Tabella2[[#This Row],[upstream_dr]]+Tabella2[[#This Row],[downstream_dr]]=2, "1", " ")</f>
        <v xml:space="preserve"> </v>
      </c>
      <c r="J75" s="6"/>
      <c r="L75" s="1" t="s">
        <v>180</v>
      </c>
      <c r="M75" s="2">
        <v>95</v>
      </c>
      <c r="N7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76" spans="1:14" ht="14.75" customHeight="1" x14ac:dyDescent="0.35">
      <c r="A76" s="14" t="s">
        <v>181</v>
      </c>
      <c r="B76" s="6">
        <v>1950</v>
      </c>
      <c r="C7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76" s="6">
        <f>2023-Tabella2[[#This Row],[foundation_launch_year]]</f>
        <v>73</v>
      </c>
      <c r="E76" s="6" t="s">
        <v>130</v>
      </c>
      <c r="F76" s="6" t="s">
        <v>147</v>
      </c>
      <c r="G76" s="23"/>
      <c r="H76" s="23">
        <v>1</v>
      </c>
      <c r="I76" s="12" t="str">
        <f>IF(Tabella2[[#This Row],[upstream_dr]]+Tabella2[[#This Row],[downstream_dr]]=2, "1", " ")</f>
        <v xml:space="preserve"> </v>
      </c>
      <c r="J76" s="6"/>
      <c r="L76" s="1" t="s">
        <v>182</v>
      </c>
      <c r="M76" s="2">
        <v>229</v>
      </c>
      <c r="N7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77" spans="1:14" ht="14.75" customHeight="1" x14ac:dyDescent="0.35">
      <c r="A77" s="14" t="s">
        <v>183</v>
      </c>
      <c r="B77" s="6">
        <v>2010</v>
      </c>
      <c r="C7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77" s="6">
        <f>2023-Tabella2[[#This Row],[foundation_launch_year]]</f>
        <v>13</v>
      </c>
      <c r="E77" s="6" t="s">
        <v>130</v>
      </c>
      <c r="F77" s="6" t="s">
        <v>147</v>
      </c>
      <c r="G77" s="23">
        <v>1</v>
      </c>
      <c r="H77" s="23"/>
      <c r="I77" s="12" t="str">
        <f>IF(Tabella2[[#This Row],[upstream_dr]]+Tabella2[[#This Row],[downstream_dr]]=2, "1", " ")</f>
        <v xml:space="preserve"> </v>
      </c>
      <c r="J77" s="6"/>
      <c r="L77" s="1" t="s">
        <v>184</v>
      </c>
      <c r="M77" s="2">
        <v>15</v>
      </c>
      <c r="N7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78" spans="1:14" ht="14.75" customHeight="1" x14ac:dyDescent="0.35">
      <c r="A78" s="14" t="s">
        <v>185</v>
      </c>
      <c r="B78" s="6">
        <v>1998</v>
      </c>
      <c r="C7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78" s="6">
        <f>2023-Tabella2[[#This Row],[foundation_launch_year]]</f>
        <v>25</v>
      </c>
      <c r="E78" s="6" t="s">
        <v>110</v>
      </c>
      <c r="F78" s="6" t="s">
        <v>186</v>
      </c>
      <c r="H78" s="23">
        <v>1</v>
      </c>
      <c r="I78" s="12" t="str">
        <f>IF(Tabella2[[#This Row],[upstream_dr]]+Tabella2[[#This Row],[downstream_dr]]=2, "1", " ")</f>
        <v xml:space="preserve"> </v>
      </c>
      <c r="J78" s="6"/>
      <c r="L78" s="1" t="s">
        <v>187</v>
      </c>
      <c r="M78" s="2">
        <v>3</v>
      </c>
      <c r="N7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79" spans="1:14" ht="14.75" customHeight="1" x14ac:dyDescent="0.35">
      <c r="A79" s="14" t="s">
        <v>188</v>
      </c>
      <c r="B79" s="6">
        <v>2014</v>
      </c>
      <c r="C7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79" s="6">
        <f>2023-Tabella2[[#This Row],[foundation_launch_year]]</f>
        <v>9</v>
      </c>
      <c r="E79" s="6" t="s">
        <v>110</v>
      </c>
      <c r="F79" s="6" t="s">
        <v>186</v>
      </c>
      <c r="G79" s="23">
        <v>1</v>
      </c>
      <c r="I79" s="12" t="str">
        <f>IF(Tabella2[[#This Row],[upstream_dr]]+Tabella2[[#This Row],[downstream_dr]]=2, "1", " ")</f>
        <v xml:space="preserve"> </v>
      </c>
      <c r="J79" s="6"/>
      <c r="L79" s="1" t="s">
        <v>189</v>
      </c>
      <c r="M79" s="2">
        <v>8</v>
      </c>
      <c r="N7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80" spans="1:14" ht="14.75" customHeight="1" x14ac:dyDescent="0.35">
      <c r="A80" s="7" t="s">
        <v>190</v>
      </c>
      <c r="B80" s="6">
        <v>2013</v>
      </c>
      <c r="C8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80" s="6">
        <f>2023-Tabella2[[#This Row],[foundation_launch_year]]</f>
        <v>10</v>
      </c>
      <c r="E80" s="6" t="s">
        <v>80</v>
      </c>
      <c r="F80" s="6" t="s">
        <v>191</v>
      </c>
      <c r="G80" s="12">
        <v>1</v>
      </c>
      <c r="I80" s="12" t="str">
        <f>IF(Tabella2[[#This Row],[upstream_dr]]+Tabella2[[#This Row],[downstream_dr]]=2, "1", " ")</f>
        <v xml:space="preserve"> </v>
      </c>
      <c r="J80" s="6"/>
      <c r="L80" s="1" t="s">
        <v>192</v>
      </c>
      <c r="M80" s="2">
        <v>49</v>
      </c>
      <c r="N8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81" spans="1:14" ht="14.75" customHeight="1" x14ac:dyDescent="0.35">
      <c r="A81" s="7" t="s">
        <v>193</v>
      </c>
      <c r="B81" s="6">
        <v>2008</v>
      </c>
      <c r="C8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81" s="6">
        <f>2023-Tabella2[[#This Row],[foundation_launch_year]]</f>
        <v>15</v>
      </c>
      <c r="E81" s="6" t="s">
        <v>80</v>
      </c>
      <c r="F81" s="6" t="s">
        <v>191</v>
      </c>
      <c r="G81" s="12">
        <v>1</v>
      </c>
      <c r="I81" s="12" t="str">
        <f>IF(Tabella2[[#This Row],[upstream_dr]]+Tabella2[[#This Row],[downstream_dr]]=2, "1", " ")</f>
        <v xml:space="preserve"> </v>
      </c>
      <c r="J81" s="6"/>
      <c r="L81" s="1" t="s">
        <v>194</v>
      </c>
      <c r="M81" s="2">
        <v>16</v>
      </c>
      <c r="N8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82" spans="1:14" ht="14.75" customHeight="1" x14ac:dyDescent="0.35">
      <c r="A82" s="7" t="s">
        <v>195</v>
      </c>
      <c r="B82" s="6">
        <v>2016</v>
      </c>
      <c r="C8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82" s="6">
        <f>2023-Tabella2[[#This Row],[foundation_launch_year]]</f>
        <v>7</v>
      </c>
      <c r="E82" s="6" t="s">
        <v>80</v>
      </c>
      <c r="F82" s="6" t="s">
        <v>191</v>
      </c>
      <c r="H82" s="12">
        <v>1</v>
      </c>
      <c r="I82" s="12" t="str">
        <f>IF(Tabella2[[#This Row],[upstream_dr]]+Tabella2[[#This Row],[downstream_dr]]=2, "1", " ")</f>
        <v xml:space="preserve"> </v>
      </c>
      <c r="J82" s="6"/>
      <c r="L82" s="1" t="s">
        <v>196</v>
      </c>
      <c r="M82" s="2">
        <v>51</v>
      </c>
      <c r="N8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83" spans="1:14" ht="14.75" customHeight="1" x14ac:dyDescent="0.35">
      <c r="A83" s="7" t="s">
        <v>197</v>
      </c>
      <c r="B83" s="6">
        <v>2016</v>
      </c>
      <c r="C8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83" s="6">
        <f>2023-Tabella2[[#This Row],[foundation_launch_year]]</f>
        <v>7</v>
      </c>
      <c r="E83" s="6" t="s">
        <v>80</v>
      </c>
      <c r="F83" s="6" t="s">
        <v>191</v>
      </c>
      <c r="G83" s="12">
        <v>1</v>
      </c>
      <c r="I83" s="12" t="str">
        <f>IF(Tabella2[[#This Row],[upstream_dr]]+Tabella2[[#This Row],[downstream_dr]]=2, "1", " ")</f>
        <v xml:space="preserve"> </v>
      </c>
      <c r="J83" s="6"/>
      <c r="L83" s="1" t="s">
        <v>198</v>
      </c>
      <c r="M83" s="2">
        <v>10</v>
      </c>
      <c r="N8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84" spans="1:14" ht="14.75" customHeight="1" x14ac:dyDescent="0.35">
      <c r="A84" s="14" t="s">
        <v>199</v>
      </c>
      <c r="B84" s="6">
        <v>2020</v>
      </c>
      <c r="C8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84" s="6">
        <f>2023-Tabella2[[#This Row],[foundation_launch_year]]</f>
        <v>3</v>
      </c>
      <c r="E84" s="6" t="s">
        <v>80</v>
      </c>
      <c r="F84" s="6" t="s">
        <v>191</v>
      </c>
      <c r="G84" s="12">
        <v>1</v>
      </c>
      <c r="I84" s="12" t="str">
        <f>IF(Tabella2[[#This Row],[upstream_dr]]+Tabella2[[#This Row],[downstream_dr]]=2, "1", " ")</f>
        <v xml:space="preserve"> </v>
      </c>
      <c r="J84" s="6"/>
      <c r="L84" s="1" t="s">
        <v>200</v>
      </c>
      <c r="M84" s="2">
        <v>9</v>
      </c>
      <c r="N8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85" spans="1:14" ht="14.75" customHeight="1" x14ac:dyDescent="0.35">
      <c r="A85" s="14" t="s">
        <v>201</v>
      </c>
      <c r="B85" s="6">
        <v>2010</v>
      </c>
      <c r="C8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85" s="6">
        <f>2023-Tabella2[[#This Row],[foundation_launch_year]]</f>
        <v>13</v>
      </c>
      <c r="E85" s="6" t="s">
        <v>80</v>
      </c>
      <c r="F85" s="6" t="s">
        <v>191</v>
      </c>
      <c r="G85" s="12">
        <v>1</v>
      </c>
      <c r="I85" s="12" t="str">
        <f>IF(Tabella2[[#This Row],[upstream_dr]]+Tabella2[[#This Row],[downstream_dr]]=2, "1", " ")</f>
        <v xml:space="preserve"> </v>
      </c>
      <c r="J85" s="6"/>
      <c r="L85" s="1" t="s">
        <v>202</v>
      </c>
      <c r="M85" s="2">
        <v>3</v>
      </c>
      <c r="N8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86" spans="1:14" ht="14.75" customHeight="1" x14ac:dyDescent="0.35">
      <c r="A86" s="14" t="s">
        <v>203</v>
      </c>
      <c r="B86" s="6">
        <v>2018</v>
      </c>
      <c r="C8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86" s="6">
        <f>2023-Tabella2[[#This Row],[foundation_launch_year]]</f>
        <v>5</v>
      </c>
      <c r="E86" s="6" t="s">
        <v>80</v>
      </c>
      <c r="F86" s="6" t="s">
        <v>191</v>
      </c>
      <c r="I86" s="12">
        <v>1</v>
      </c>
      <c r="J86" s="6"/>
      <c r="L86" s="1" t="s">
        <v>204</v>
      </c>
      <c r="M86" s="2">
        <v>3</v>
      </c>
      <c r="N8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87" spans="1:14" ht="14.75" customHeight="1" x14ac:dyDescent="0.35">
      <c r="A87" s="14" t="s">
        <v>205</v>
      </c>
      <c r="B87" s="6">
        <v>2016</v>
      </c>
      <c r="C8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87" s="6">
        <f>2023-Tabella2[[#This Row],[foundation_launch_year]]</f>
        <v>7</v>
      </c>
      <c r="E87" s="6" t="s">
        <v>80</v>
      </c>
      <c r="F87" s="6" t="s">
        <v>191</v>
      </c>
      <c r="G87" s="23">
        <v>1</v>
      </c>
      <c r="I87" s="12" t="str">
        <f>IF(Tabella2[[#This Row],[upstream_dr]]+Tabella2[[#This Row],[downstream_dr]]=2, "1", " ")</f>
        <v xml:space="preserve"> </v>
      </c>
      <c r="J87" s="6"/>
      <c r="L87" s="1" t="s">
        <v>206</v>
      </c>
      <c r="M87" s="2">
        <v>16</v>
      </c>
      <c r="N8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88" spans="1:14" ht="14.75" customHeight="1" x14ac:dyDescent="0.35">
      <c r="A88" s="14" t="s">
        <v>207</v>
      </c>
      <c r="B88" s="6">
        <v>2019</v>
      </c>
      <c r="C8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88" s="6">
        <f>2023-Tabella2[[#This Row],[foundation_launch_year]]</f>
        <v>4</v>
      </c>
      <c r="E88" s="6" t="s">
        <v>80</v>
      </c>
      <c r="F88" s="6" t="s">
        <v>191</v>
      </c>
      <c r="I88" s="12">
        <v>1</v>
      </c>
      <c r="J88" s="6"/>
      <c r="L88" s="1" t="s">
        <v>208</v>
      </c>
      <c r="M88" s="2">
        <v>24</v>
      </c>
      <c r="N8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89" spans="1:14" ht="14.75" customHeight="1" x14ac:dyDescent="0.35">
      <c r="A89" s="14" t="s">
        <v>209</v>
      </c>
      <c r="B89" s="24">
        <v>1981</v>
      </c>
      <c r="C89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89" s="24">
        <f>2023-Tabella2[[#This Row],[foundation_launch_year]]</f>
        <v>42</v>
      </c>
      <c r="E89" s="6" t="s">
        <v>80</v>
      </c>
      <c r="F89" s="6" t="s">
        <v>191</v>
      </c>
      <c r="G89" s="23">
        <v>1</v>
      </c>
      <c r="I89" s="12" t="str">
        <f>IF(Tabella2[[#This Row],[upstream_dr]]+Tabella2[[#This Row],[downstream_dr]]=2, "1", " ")</f>
        <v xml:space="preserve"> </v>
      </c>
      <c r="J89" s="6"/>
      <c r="L89" s="1" t="s">
        <v>210</v>
      </c>
      <c r="M89" s="2">
        <v>45</v>
      </c>
      <c r="N8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90" spans="1:14" ht="14.75" customHeight="1" x14ac:dyDescent="0.35">
      <c r="A90" s="14" t="s">
        <v>211</v>
      </c>
      <c r="B90" s="24">
        <v>2022</v>
      </c>
      <c r="C90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90" s="24">
        <f>2023-Tabella2[[#This Row],[foundation_launch_year]]</f>
        <v>1</v>
      </c>
      <c r="E90" s="6" t="s">
        <v>80</v>
      </c>
      <c r="F90" s="6" t="s">
        <v>191</v>
      </c>
      <c r="H90" s="23">
        <v>1</v>
      </c>
      <c r="I90" s="12" t="str">
        <f>IF(Tabella2[[#This Row],[upstream_dr]]+Tabella2[[#This Row],[downstream_dr]]=2, "1", " ")</f>
        <v xml:space="preserve"> </v>
      </c>
      <c r="J90" s="6"/>
      <c r="L90" s="1" t="s">
        <v>212</v>
      </c>
      <c r="M90" s="2">
        <v>49</v>
      </c>
      <c r="N9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91" spans="1:14" ht="14.75" customHeight="1" x14ac:dyDescent="0.35">
      <c r="A91" s="18" t="s">
        <v>213</v>
      </c>
      <c r="B91" s="6">
        <v>1950</v>
      </c>
      <c r="C9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91" s="6">
        <f>2023-Tabella2[[#This Row],[foundation_launch_year]]</f>
        <v>73</v>
      </c>
      <c r="E91" s="6" t="s">
        <v>80</v>
      </c>
      <c r="F91" s="6" t="s">
        <v>191</v>
      </c>
      <c r="G91" s="23">
        <v>1</v>
      </c>
      <c r="I91" s="12" t="str">
        <f>IF(Tabella2[[#This Row],[upstream_dr]]+Tabella2[[#This Row],[downstream_dr]]=2, "1", " ")</f>
        <v xml:space="preserve"> </v>
      </c>
      <c r="J91" s="6"/>
      <c r="L91" s="9" t="s">
        <v>214</v>
      </c>
      <c r="M91" s="4">
        <v>173</v>
      </c>
      <c r="N9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92" spans="1:14" ht="14.75" customHeight="1" x14ac:dyDescent="0.35">
      <c r="A92" s="18" t="s">
        <v>215</v>
      </c>
      <c r="B92" s="6">
        <v>2002</v>
      </c>
      <c r="C9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92" s="6">
        <f>2023-Tabella2[[#This Row],[foundation_launch_year]]</f>
        <v>21</v>
      </c>
      <c r="E92" s="6" t="s">
        <v>80</v>
      </c>
      <c r="F92" s="6" t="s">
        <v>191</v>
      </c>
      <c r="H92" s="23">
        <v>1</v>
      </c>
      <c r="I92" s="12" t="str">
        <f>IF(Tabella2[[#This Row],[upstream_dr]]+Tabella2[[#This Row],[downstream_dr]]=2, "1", " ")</f>
        <v xml:space="preserve"> </v>
      </c>
      <c r="J92" s="6"/>
      <c r="L92" s="9" t="s">
        <v>216</v>
      </c>
      <c r="M92" s="4">
        <v>23</v>
      </c>
      <c r="N9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93" spans="1:14" ht="14.75" customHeight="1" x14ac:dyDescent="0.35">
      <c r="A93" s="18" t="s">
        <v>217</v>
      </c>
      <c r="B93" s="6">
        <v>1947</v>
      </c>
      <c r="C9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93" s="6">
        <f>2023-Tabella2[[#This Row],[foundation_launch_year]]</f>
        <v>76</v>
      </c>
      <c r="E93" s="6" t="s">
        <v>80</v>
      </c>
      <c r="F93" s="6" t="s">
        <v>191</v>
      </c>
      <c r="G93" s="23">
        <v>1</v>
      </c>
      <c r="I93" s="12" t="str">
        <f>IF(Tabella2[[#This Row],[upstream_dr]]+Tabella2[[#This Row],[downstream_dr]]=2, "1", " ")</f>
        <v xml:space="preserve"> </v>
      </c>
      <c r="J93" s="6"/>
      <c r="L93" s="1" t="s">
        <v>218</v>
      </c>
      <c r="M93" s="4">
        <v>146</v>
      </c>
      <c r="N9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94" spans="1:14" ht="14.75" customHeight="1" x14ac:dyDescent="0.35">
      <c r="A94" s="14" t="s">
        <v>219</v>
      </c>
      <c r="B94" s="6">
        <v>2000</v>
      </c>
      <c r="C9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94" s="6">
        <f>2023-Tabella2[[#This Row],[foundation_launch_year]]</f>
        <v>23</v>
      </c>
      <c r="E94" s="6" t="s">
        <v>80</v>
      </c>
      <c r="F94" s="6" t="s">
        <v>191</v>
      </c>
      <c r="H94" s="23">
        <v>1</v>
      </c>
      <c r="I94" s="12" t="str">
        <f>IF(Tabella2[[#This Row],[upstream_dr]]+Tabella2[[#This Row],[downstream_dr]]=2, "1", " ")</f>
        <v xml:space="preserve"> </v>
      </c>
      <c r="J94" s="6"/>
      <c r="L94" s="1" t="s">
        <v>220</v>
      </c>
      <c r="M94" s="2">
        <v>16</v>
      </c>
      <c r="N9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95" spans="1:14" ht="14.75" customHeight="1" x14ac:dyDescent="0.35">
      <c r="A95" s="14" t="s">
        <v>221</v>
      </c>
      <c r="B95" s="24">
        <v>1889</v>
      </c>
      <c r="C95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95" s="24">
        <f>2023-Tabella2[[#This Row],[foundation_launch_year]]</f>
        <v>134</v>
      </c>
      <c r="E95" s="6" t="s">
        <v>80</v>
      </c>
      <c r="F95" s="6" t="s">
        <v>191</v>
      </c>
      <c r="H95" s="23">
        <v>1</v>
      </c>
      <c r="I95" s="12" t="str">
        <f>IF(Tabella2[[#This Row],[upstream_dr]]+Tabella2[[#This Row],[downstream_dr]]=2, "1", " ")</f>
        <v xml:space="preserve"> </v>
      </c>
      <c r="J95" s="6"/>
      <c r="L95" s="1" t="s">
        <v>222</v>
      </c>
      <c r="M95" s="2">
        <v>115</v>
      </c>
      <c r="N9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96" spans="1:14" ht="14.75" customHeight="1" x14ac:dyDescent="0.35">
      <c r="A96" s="14" t="s">
        <v>223</v>
      </c>
      <c r="B96" s="24">
        <v>2015</v>
      </c>
      <c r="C96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96" s="24">
        <f>2023-Tabella2[[#This Row],[foundation_launch_year]]</f>
        <v>8</v>
      </c>
      <c r="E96" s="6" t="s">
        <v>80</v>
      </c>
      <c r="F96" s="6" t="s">
        <v>191</v>
      </c>
      <c r="H96" s="23">
        <v>1</v>
      </c>
      <c r="I96" s="12" t="str">
        <f>IF(Tabella2[[#This Row],[upstream_dr]]+Tabella2[[#This Row],[downstream_dr]]=2, "1", " ")</f>
        <v xml:space="preserve"> </v>
      </c>
      <c r="J96" s="6"/>
      <c r="L96" s="1" t="s">
        <v>224</v>
      </c>
      <c r="M96" s="2">
        <v>57</v>
      </c>
      <c r="N9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97" spans="1:14" ht="14.75" customHeight="1" x14ac:dyDescent="0.35">
      <c r="A97" s="14" t="s">
        <v>225</v>
      </c>
      <c r="B97" s="6">
        <v>1937</v>
      </c>
      <c r="C9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97" s="6">
        <f>2023-Tabella2[[#This Row],[foundation_launch_year]]</f>
        <v>86</v>
      </c>
      <c r="E97" s="6" t="s">
        <v>80</v>
      </c>
      <c r="F97" s="6" t="s">
        <v>191</v>
      </c>
      <c r="H97" s="23">
        <v>1</v>
      </c>
      <c r="I97" s="12" t="str">
        <f>IF(Tabella2[[#This Row],[upstream_dr]]+Tabella2[[#This Row],[downstream_dr]]=2, "1", " ")</f>
        <v xml:space="preserve"> </v>
      </c>
      <c r="J97" s="6"/>
      <c r="L97" s="1" t="s">
        <v>226</v>
      </c>
      <c r="M97" s="2">
        <v>7</v>
      </c>
      <c r="N9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98" spans="1:14" ht="14.75" customHeight="1" x14ac:dyDescent="0.35">
      <c r="A98" s="14" t="s">
        <v>227</v>
      </c>
      <c r="B98" s="6">
        <v>1965</v>
      </c>
      <c r="C9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98" s="6">
        <f>2023-Tabella2[[#This Row],[foundation_launch_year]]</f>
        <v>58</v>
      </c>
      <c r="E98" s="6" t="s">
        <v>80</v>
      </c>
      <c r="F98" s="6" t="s">
        <v>191</v>
      </c>
      <c r="H98" s="23">
        <v>1</v>
      </c>
      <c r="I98" s="12" t="str">
        <f>IF(Tabella2[[#This Row],[upstream_dr]]+Tabella2[[#This Row],[downstream_dr]]=2, "1", " ")</f>
        <v xml:space="preserve"> </v>
      </c>
      <c r="J98" s="6"/>
      <c r="L98" s="1" t="s">
        <v>228</v>
      </c>
      <c r="M98" s="2">
        <v>3</v>
      </c>
      <c r="N9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99" spans="1:14" ht="14.75" customHeight="1" x14ac:dyDescent="0.35">
      <c r="A99" s="14" t="s">
        <v>229</v>
      </c>
      <c r="B99" s="6">
        <v>1889</v>
      </c>
      <c r="C9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99" s="6">
        <f>2023-Tabella2[[#This Row],[foundation_launch_year]]</f>
        <v>134</v>
      </c>
      <c r="E99" s="6" t="s">
        <v>80</v>
      </c>
      <c r="F99" s="6" t="s">
        <v>191</v>
      </c>
      <c r="H99" s="23">
        <v>1</v>
      </c>
      <c r="I99" s="12" t="str">
        <f>IF(Tabella2[[#This Row],[upstream_dr]]+Tabella2[[#This Row],[downstream_dr]]=2, "1", " ")</f>
        <v xml:space="preserve"> </v>
      </c>
      <c r="J99" s="6"/>
      <c r="L99" s="1" t="s">
        <v>230</v>
      </c>
      <c r="M99" s="2">
        <v>14</v>
      </c>
      <c r="N9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00" spans="1:14" ht="14.75" customHeight="1" x14ac:dyDescent="0.35">
      <c r="A100" s="14" t="s">
        <v>231</v>
      </c>
      <c r="B100" s="6">
        <v>1947</v>
      </c>
      <c r="C10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00" s="6">
        <f>2023-Tabella2[[#This Row],[foundation_launch_year]]</f>
        <v>76</v>
      </c>
      <c r="E100" s="6" t="s">
        <v>80</v>
      </c>
      <c r="F100" s="6" t="s">
        <v>191</v>
      </c>
      <c r="H100" s="23">
        <v>1</v>
      </c>
      <c r="I100" s="12" t="str">
        <f>IF(Tabella2[[#This Row],[upstream_dr]]+Tabella2[[#This Row],[downstream_dr]]=2, "1", " ")</f>
        <v xml:space="preserve"> </v>
      </c>
      <c r="J100" s="6"/>
      <c r="L100" s="1" t="s">
        <v>232</v>
      </c>
      <c r="M100" s="2">
        <v>480</v>
      </c>
      <c r="N10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101" spans="1:14" ht="14.75" customHeight="1" x14ac:dyDescent="0.35">
      <c r="A101" s="14" t="s">
        <v>233</v>
      </c>
      <c r="B101" s="6">
        <v>1892</v>
      </c>
      <c r="C10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01" s="6">
        <f>2023-Tabella2[[#This Row],[foundation_launch_year]]</f>
        <v>131</v>
      </c>
      <c r="E101" s="6" t="s">
        <v>80</v>
      </c>
      <c r="F101" s="6" t="s">
        <v>191</v>
      </c>
      <c r="H101" s="23">
        <v>1</v>
      </c>
      <c r="I101" s="12" t="str">
        <f>IF(Tabella2[[#This Row],[upstream_dr]]+Tabella2[[#This Row],[downstream_dr]]=2, "1", " ")</f>
        <v xml:space="preserve"> </v>
      </c>
      <c r="J101" s="6"/>
      <c r="L101" s="1" t="s">
        <v>234</v>
      </c>
      <c r="M101" s="2">
        <v>606</v>
      </c>
      <c r="N10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102" spans="1:14" ht="14.75" customHeight="1" x14ac:dyDescent="0.35">
      <c r="A102" s="14" t="s">
        <v>235</v>
      </c>
      <c r="B102" s="6">
        <v>2011</v>
      </c>
      <c r="C10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02" s="6">
        <f>2023-Tabella2[[#This Row],[foundation_launch_year]]</f>
        <v>12</v>
      </c>
      <c r="E102" s="6" t="s">
        <v>48</v>
      </c>
      <c r="F102" s="6" t="s">
        <v>236</v>
      </c>
      <c r="H102" s="12">
        <v>1</v>
      </c>
      <c r="I102" s="12" t="str">
        <f>IF(Tabella2[[#This Row],[upstream_dr]]+Tabella2[[#This Row],[downstream_dr]]=2, "1", " ")</f>
        <v xml:space="preserve"> </v>
      </c>
      <c r="J102" s="6"/>
      <c r="L102" s="1" t="s">
        <v>237</v>
      </c>
      <c r="M102" s="2">
        <v>61</v>
      </c>
      <c r="N10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03" spans="1:14" ht="14.75" customHeight="1" x14ac:dyDescent="0.35">
      <c r="A103" s="14" t="s">
        <v>238</v>
      </c>
      <c r="B103" s="6">
        <v>2012</v>
      </c>
      <c r="C10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03" s="6">
        <f>2023-Tabella2[[#This Row],[foundation_launch_year]]</f>
        <v>11</v>
      </c>
      <c r="E103" s="6" t="s">
        <v>48</v>
      </c>
      <c r="F103" s="6" t="s">
        <v>236</v>
      </c>
      <c r="H103" s="12">
        <v>1</v>
      </c>
      <c r="I103" s="12" t="str">
        <f>IF(Tabella2[[#This Row],[upstream_dr]]+Tabella2[[#This Row],[downstream_dr]]=2, "1", " ")</f>
        <v xml:space="preserve"> </v>
      </c>
      <c r="J103" s="6"/>
      <c r="L103" s="1" t="s">
        <v>239</v>
      </c>
      <c r="M103" s="2">
        <v>10</v>
      </c>
      <c r="N10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04" spans="1:14" ht="14.75" customHeight="1" x14ac:dyDescent="0.35">
      <c r="A104" s="7" t="s">
        <v>240</v>
      </c>
      <c r="B104" s="6">
        <v>1985</v>
      </c>
      <c r="C10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04" s="6">
        <f>2023-Tabella2[[#This Row],[foundation_launch_year]]</f>
        <v>38</v>
      </c>
      <c r="E104" s="6" t="s">
        <v>48</v>
      </c>
      <c r="F104" s="6" t="s">
        <v>241</v>
      </c>
      <c r="H104" s="23">
        <v>1</v>
      </c>
      <c r="I104" s="12" t="str">
        <f>IF(Tabella2[[#This Row],[upstream_dr]]+Tabella2[[#This Row],[downstream_dr]]=2, "1", " ")</f>
        <v xml:space="preserve"> </v>
      </c>
      <c r="J104" s="6"/>
      <c r="L104" s="1" t="s">
        <v>242</v>
      </c>
      <c r="M104" s="2">
        <v>1</v>
      </c>
      <c r="N10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05" spans="1:14" ht="14.75" customHeight="1" x14ac:dyDescent="0.35">
      <c r="A105" s="7" t="s">
        <v>243</v>
      </c>
      <c r="B105" s="6">
        <v>1953</v>
      </c>
      <c r="C10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05" s="6">
        <f>2023-Tabella2[[#This Row],[foundation_launch_year]]</f>
        <v>70</v>
      </c>
      <c r="E105" s="6" t="s">
        <v>48</v>
      </c>
      <c r="F105" s="6" t="s">
        <v>241</v>
      </c>
      <c r="H105" s="23">
        <v>1</v>
      </c>
      <c r="I105" s="12" t="str">
        <f>IF(Tabella2[[#This Row],[upstream_dr]]+Tabella2[[#This Row],[downstream_dr]]=2, "1", " ")</f>
        <v xml:space="preserve"> </v>
      </c>
      <c r="J105" s="6"/>
      <c r="L105" s="1" t="s">
        <v>244</v>
      </c>
      <c r="M105" s="2">
        <v>141</v>
      </c>
      <c r="N10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106" spans="1:14" ht="14.75" customHeight="1" x14ac:dyDescent="0.35">
      <c r="A106" s="14" t="s">
        <v>245</v>
      </c>
      <c r="B106" s="6">
        <v>2012</v>
      </c>
      <c r="C10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06" s="6">
        <f>2023-Tabella2[[#This Row],[foundation_launch_year]]</f>
        <v>11</v>
      </c>
      <c r="E106" s="6" t="s">
        <v>48</v>
      </c>
      <c r="F106" s="6" t="s">
        <v>241</v>
      </c>
      <c r="G106" s="12">
        <v>1</v>
      </c>
      <c r="I106" s="12" t="str">
        <f>IF(Tabella2[[#This Row],[upstream_dr]]+Tabella2[[#This Row],[downstream_dr]]=2, "1", " ")</f>
        <v xml:space="preserve"> </v>
      </c>
      <c r="J106" s="6"/>
      <c r="L106" s="1" t="s">
        <v>246</v>
      </c>
      <c r="M106" s="2">
        <v>92</v>
      </c>
      <c r="N10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07" spans="1:14" ht="14.75" customHeight="1" x14ac:dyDescent="0.35">
      <c r="A107" s="14" t="s">
        <v>247</v>
      </c>
      <c r="B107" s="6">
        <v>2017</v>
      </c>
      <c r="C10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07" s="6">
        <f>2023-Tabella2[[#This Row],[foundation_launch_year]]</f>
        <v>6</v>
      </c>
      <c r="E107" s="6" t="s">
        <v>48</v>
      </c>
      <c r="F107" s="6" t="s">
        <v>241</v>
      </c>
      <c r="G107" s="12">
        <v>1</v>
      </c>
      <c r="I107" s="12" t="str">
        <f>IF(Tabella2[[#This Row],[upstream_dr]]+Tabella2[[#This Row],[downstream_dr]]=2, "1", " ")</f>
        <v xml:space="preserve"> </v>
      </c>
      <c r="J107" s="6"/>
      <c r="L107" s="1" t="s">
        <v>248</v>
      </c>
      <c r="M107" s="2">
        <v>54</v>
      </c>
      <c r="N10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08" spans="1:14" ht="14.75" customHeight="1" x14ac:dyDescent="0.35">
      <c r="A108" s="14" t="s">
        <v>249</v>
      </c>
      <c r="B108" s="6">
        <v>2011</v>
      </c>
      <c r="C10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08" s="6">
        <f>2023-Tabella2[[#This Row],[foundation_launch_year]]</f>
        <v>12</v>
      </c>
      <c r="E108" s="6" t="s">
        <v>48</v>
      </c>
      <c r="F108" s="6" t="s">
        <v>241</v>
      </c>
      <c r="H108" s="12">
        <v>1</v>
      </c>
      <c r="I108" s="12" t="str">
        <f>IF(Tabella2[[#This Row],[upstream_dr]]+Tabella2[[#This Row],[downstream_dr]]=2, "1", " ")</f>
        <v xml:space="preserve"> </v>
      </c>
      <c r="J108" s="6"/>
      <c r="L108" s="1" t="s">
        <v>250</v>
      </c>
      <c r="M108" s="2">
        <v>9</v>
      </c>
      <c r="N10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09" spans="1:14" ht="14.75" customHeight="1" x14ac:dyDescent="0.35">
      <c r="A109" s="14" t="s">
        <v>251</v>
      </c>
      <c r="B109" s="6">
        <v>1999</v>
      </c>
      <c r="C10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09" s="6">
        <f>2023-Tabella2[[#This Row],[foundation_launch_year]]</f>
        <v>24</v>
      </c>
      <c r="E109" s="6" t="s">
        <v>48</v>
      </c>
      <c r="F109" s="6" t="s">
        <v>241</v>
      </c>
      <c r="H109" s="12">
        <v>1</v>
      </c>
      <c r="I109" s="12" t="str">
        <f>IF(Tabella2[[#This Row],[upstream_dr]]+Tabella2[[#This Row],[downstream_dr]]=2, "1", " ")</f>
        <v xml:space="preserve"> </v>
      </c>
      <c r="J109" s="6"/>
      <c r="L109" s="1" t="s">
        <v>252</v>
      </c>
      <c r="M109" s="2">
        <v>85</v>
      </c>
      <c r="N10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10" spans="1:14" ht="14.75" customHeight="1" x14ac:dyDescent="0.35">
      <c r="A110" s="14" t="s">
        <v>253</v>
      </c>
      <c r="B110" s="6">
        <v>2015</v>
      </c>
      <c r="C11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10" s="6">
        <f>2023-Tabella2[[#This Row],[foundation_launch_year]]</f>
        <v>8</v>
      </c>
      <c r="E110" s="6" t="s">
        <v>48</v>
      </c>
      <c r="F110" s="6" t="s">
        <v>241</v>
      </c>
      <c r="G110" s="12">
        <v>1</v>
      </c>
      <c r="I110" s="12" t="str">
        <f>IF(Tabella2[[#This Row],[upstream_dr]]+Tabella2[[#This Row],[downstream_dr]]=2, "1", " ")</f>
        <v xml:space="preserve"> </v>
      </c>
      <c r="J110" s="6"/>
      <c r="L110" s="1" t="s">
        <v>254</v>
      </c>
      <c r="M110" s="2">
        <v>14</v>
      </c>
      <c r="N11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11" spans="1:14" ht="14.75" customHeight="1" x14ac:dyDescent="0.35">
      <c r="A111" s="14" t="s">
        <v>255</v>
      </c>
      <c r="B111" s="6">
        <v>2010</v>
      </c>
      <c r="C11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11" s="6">
        <f>2023-Tabella2[[#This Row],[foundation_launch_year]]</f>
        <v>13</v>
      </c>
      <c r="E111" s="6" t="s">
        <v>48</v>
      </c>
      <c r="F111" s="6" t="s">
        <v>241</v>
      </c>
      <c r="H111" s="12">
        <v>1</v>
      </c>
      <c r="I111" s="12" t="str">
        <f>IF(Tabella2[[#This Row],[upstream_dr]]+Tabella2[[#This Row],[downstream_dr]]=2, "1", " ")</f>
        <v xml:space="preserve"> </v>
      </c>
      <c r="J111" s="6"/>
      <c r="L111" s="1" t="s">
        <v>256</v>
      </c>
      <c r="M111" s="2">
        <v>45</v>
      </c>
      <c r="N11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112" spans="1:14" ht="14.75" customHeight="1" x14ac:dyDescent="0.35">
      <c r="A112" s="14" t="s">
        <v>257</v>
      </c>
      <c r="B112" s="6">
        <v>2018</v>
      </c>
      <c r="C11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12" s="6">
        <f>2023-Tabella2[[#This Row],[foundation_launch_year]]</f>
        <v>5</v>
      </c>
      <c r="E112" s="6" t="s">
        <v>48</v>
      </c>
      <c r="F112" s="6" t="s">
        <v>241</v>
      </c>
      <c r="H112" s="12">
        <v>1</v>
      </c>
      <c r="I112" s="12" t="str">
        <f>IF(Tabella2[[#This Row],[upstream_dr]]+Tabella2[[#This Row],[downstream_dr]]=2, "1", " ")</f>
        <v xml:space="preserve"> </v>
      </c>
      <c r="J112" s="6"/>
      <c r="L112" s="1" t="s">
        <v>258</v>
      </c>
      <c r="M112" s="2">
        <v>9</v>
      </c>
      <c r="N11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13" spans="1:14" ht="14.75" customHeight="1" x14ac:dyDescent="0.35">
      <c r="A113" s="14" t="s">
        <v>259</v>
      </c>
      <c r="B113" s="6">
        <v>2015</v>
      </c>
      <c r="C11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13" s="6">
        <f>2023-Tabella2[[#This Row],[foundation_launch_year]]</f>
        <v>8</v>
      </c>
      <c r="E113" s="6" t="s">
        <v>48</v>
      </c>
      <c r="F113" s="6" t="s">
        <v>241</v>
      </c>
      <c r="H113" s="12">
        <v>1</v>
      </c>
      <c r="I113" s="12" t="str">
        <f>IF(Tabella2[[#This Row],[upstream_dr]]+Tabella2[[#This Row],[downstream_dr]]=2, "1", " ")</f>
        <v xml:space="preserve"> </v>
      </c>
      <c r="J113" s="6"/>
      <c r="L113" s="1" t="s">
        <v>260</v>
      </c>
      <c r="M113" s="2">
        <v>7</v>
      </c>
      <c r="N11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14" spans="1:14" ht="14.75" customHeight="1" x14ac:dyDescent="0.35">
      <c r="A114" s="14" t="s">
        <v>261</v>
      </c>
      <c r="B114" s="6">
        <v>2013</v>
      </c>
      <c r="C11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14" s="6">
        <f>2023-Tabella2[[#This Row],[foundation_launch_year]]</f>
        <v>10</v>
      </c>
      <c r="E114" s="6" t="s">
        <v>48</v>
      </c>
      <c r="F114" s="6" t="s">
        <v>241</v>
      </c>
      <c r="H114" s="12">
        <v>1</v>
      </c>
      <c r="I114" s="12" t="str">
        <f>IF(Tabella2[[#This Row],[upstream_dr]]+Tabella2[[#This Row],[downstream_dr]]=2, "1", " ")</f>
        <v xml:space="preserve"> </v>
      </c>
      <c r="J114" s="6"/>
      <c r="L114" s="1" t="s">
        <v>262</v>
      </c>
      <c r="M114" s="2">
        <v>17</v>
      </c>
      <c r="N11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15" spans="1:14" ht="14.75" customHeight="1" x14ac:dyDescent="0.35">
      <c r="A115" s="14" t="s">
        <v>263</v>
      </c>
      <c r="B115" s="6">
        <v>2011</v>
      </c>
      <c r="C11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15" s="6">
        <f>2023-Tabella2[[#This Row],[foundation_launch_year]]</f>
        <v>12</v>
      </c>
      <c r="E115" s="6" t="s">
        <v>48</v>
      </c>
      <c r="F115" s="6" t="s">
        <v>241</v>
      </c>
      <c r="G115" s="23">
        <v>1</v>
      </c>
      <c r="H115" s="23"/>
      <c r="I115" s="12" t="str">
        <f>IF(Tabella2[[#This Row],[upstream_dr]]+Tabella2[[#This Row],[downstream_dr]]=2, "1", " ")</f>
        <v xml:space="preserve"> </v>
      </c>
      <c r="J115" s="6"/>
      <c r="L115" s="1" t="s">
        <v>264</v>
      </c>
      <c r="M115" s="2">
        <v>42</v>
      </c>
      <c r="N11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116" spans="1:14" ht="14.75" customHeight="1" x14ac:dyDescent="0.35">
      <c r="A116" s="14" t="s">
        <v>265</v>
      </c>
      <c r="B116" s="24">
        <v>2013</v>
      </c>
      <c r="C116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16" s="24">
        <f>2023-Tabella2[[#This Row],[foundation_launch_year]]</f>
        <v>10</v>
      </c>
      <c r="E116" s="6" t="s">
        <v>48</v>
      </c>
      <c r="F116" s="6" t="s">
        <v>241</v>
      </c>
      <c r="H116" s="23">
        <v>1</v>
      </c>
      <c r="I116" s="12" t="str">
        <f>IF(Tabella2[[#This Row],[upstream_dr]]+Tabella2[[#This Row],[downstream_dr]]=2, "1", " ")</f>
        <v xml:space="preserve"> </v>
      </c>
      <c r="J116" s="6"/>
      <c r="L116" s="1" t="s">
        <v>266</v>
      </c>
      <c r="M116" s="2">
        <v>4</v>
      </c>
      <c r="N11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17" spans="1:14" ht="14.75" customHeight="1" x14ac:dyDescent="0.35">
      <c r="A117" s="14" t="s">
        <v>267</v>
      </c>
      <c r="B117" s="6">
        <v>1960</v>
      </c>
      <c r="C11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17" s="6">
        <f>2023-Tabella2[[#This Row],[foundation_launch_year]]</f>
        <v>63</v>
      </c>
      <c r="E117" s="6" t="s">
        <v>48</v>
      </c>
      <c r="F117" s="6" t="s">
        <v>241</v>
      </c>
      <c r="G117" s="23">
        <v>1</v>
      </c>
      <c r="I117" s="12" t="str">
        <f>IF(Tabella2[[#This Row],[upstream_dr]]+Tabella2[[#This Row],[downstream_dr]]=2, "1", " ")</f>
        <v xml:space="preserve"> </v>
      </c>
      <c r="J117" s="6"/>
      <c r="L117" s="1" t="s">
        <v>268</v>
      </c>
      <c r="M117" s="2">
        <v>11</v>
      </c>
      <c r="N11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18" spans="1:14" ht="14.75" customHeight="1" x14ac:dyDescent="0.35">
      <c r="A118" s="14" t="s">
        <v>269</v>
      </c>
      <c r="B118" s="6">
        <v>1987</v>
      </c>
      <c r="C11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18" s="6">
        <f>2023-Tabella2[[#This Row],[foundation_launch_year]]</f>
        <v>36</v>
      </c>
      <c r="E118" s="6" t="s">
        <v>48</v>
      </c>
      <c r="F118" s="6" t="s">
        <v>241</v>
      </c>
      <c r="H118" s="23">
        <v>1</v>
      </c>
      <c r="I118" s="12" t="str">
        <f>IF(Tabella2[[#This Row],[upstream_dr]]+Tabella2[[#This Row],[downstream_dr]]=2, "1", " ")</f>
        <v xml:space="preserve"> </v>
      </c>
      <c r="J118" s="6"/>
      <c r="L118" s="1" t="s">
        <v>270</v>
      </c>
      <c r="M118" s="2">
        <v>1</v>
      </c>
      <c r="N11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19" spans="1:14" ht="14.75" customHeight="1" x14ac:dyDescent="0.35">
      <c r="A119" s="14" t="s">
        <v>271</v>
      </c>
      <c r="B119" s="6">
        <v>1969</v>
      </c>
      <c r="C11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19" s="6">
        <f>2023-Tabella2[[#This Row],[foundation_launch_year]]</f>
        <v>54</v>
      </c>
      <c r="E119" s="6" t="s">
        <v>48</v>
      </c>
      <c r="F119" s="6" t="s">
        <v>241</v>
      </c>
      <c r="G119" s="23">
        <v>1</v>
      </c>
      <c r="I119" s="12" t="str">
        <f>IF(Tabella2[[#This Row],[upstream_dr]]+Tabella2[[#This Row],[downstream_dr]]=2, "1", " ")</f>
        <v xml:space="preserve"> </v>
      </c>
      <c r="J119" s="6"/>
      <c r="L119" s="1" t="s">
        <v>272</v>
      </c>
      <c r="M119" s="2">
        <v>8</v>
      </c>
      <c r="N11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20" spans="1:14" ht="14.75" customHeight="1" x14ac:dyDescent="0.35">
      <c r="A120" s="7" t="s">
        <v>273</v>
      </c>
      <c r="B120" s="6">
        <v>2018</v>
      </c>
      <c r="C12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20" s="6">
        <f>2023-Tabella2[[#This Row],[foundation_launch_year]]</f>
        <v>5</v>
      </c>
      <c r="E120" s="6" t="s">
        <v>15</v>
      </c>
      <c r="F120" s="6" t="s">
        <v>274</v>
      </c>
      <c r="H120" s="12">
        <v>1</v>
      </c>
      <c r="I120" s="12" t="str">
        <f>IF(Tabella2[[#This Row],[upstream_dr]]+Tabella2[[#This Row],[downstream_dr]]=2, "1", " ")</f>
        <v xml:space="preserve"> </v>
      </c>
      <c r="J120" s="6"/>
      <c r="L120" s="1" t="s">
        <v>275</v>
      </c>
      <c r="M120" s="2">
        <v>12</v>
      </c>
      <c r="N12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21" spans="1:14" ht="14.75" customHeight="1" x14ac:dyDescent="0.35">
      <c r="A121" s="7" t="s">
        <v>276</v>
      </c>
      <c r="B121" s="6">
        <v>1985</v>
      </c>
      <c r="C12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21" s="6">
        <f>2023-Tabella2[[#This Row],[foundation_launch_year]]</f>
        <v>38</v>
      </c>
      <c r="E121" s="6" t="s">
        <v>130</v>
      </c>
      <c r="F121" s="6" t="s">
        <v>277</v>
      </c>
      <c r="G121" s="23"/>
      <c r="H121" s="23"/>
      <c r="I121" s="12">
        <v>1</v>
      </c>
      <c r="J121" s="6"/>
      <c r="L121" s="1" t="s">
        <v>278</v>
      </c>
      <c r="M121" s="2">
        <v>48</v>
      </c>
      <c r="N12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122" spans="1:14" ht="14.75" customHeight="1" x14ac:dyDescent="0.35">
      <c r="A122" s="14" t="s">
        <v>279</v>
      </c>
      <c r="B122" s="6">
        <v>2005</v>
      </c>
      <c r="C12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22" s="6">
        <f>2023-Tabella2[[#This Row],[foundation_launch_year]]</f>
        <v>18</v>
      </c>
      <c r="E122" s="6" t="s">
        <v>130</v>
      </c>
      <c r="F122" s="6" t="s">
        <v>277</v>
      </c>
      <c r="H122" s="12">
        <v>1</v>
      </c>
      <c r="I122" s="12" t="str">
        <f>IF(Tabella2[[#This Row],[upstream_dr]]+Tabella2[[#This Row],[downstream_dr]]=2, "1", " ")</f>
        <v xml:space="preserve"> </v>
      </c>
      <c r="J122" s="6"/>
      <c r="L122" s="1" t="s">
        <v>280</v>
      </c>
      <c r="M122" s="2">
        <v>16</v>
      </c>
      <c r="N12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23" spans="1:14" ht="14.75" customHeight="1" x14ac:dyDescent="0.35">
      <c r="A123" s="14" t="s">
        <v>281</v>
      </c>
      <c r="B123" s="6">
        <v>2011</v>
      </c>
      <c r="C12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23" s="6">
        <f>2023-Tabella2[[#This Row],[foundation_launch_year]]</f>
        <v>12</v>
      </c>
      <c r="E123" s="6" t="s">
        <v>130</v>
      </c>
      <c r="F123" s="6" t="s">
        <v>277</v>
      </c>
      <c r="H123" s="12">
        <v>1</v>
      </c>
      <c r="I123" s="12" t="str">
        <f>IF(Tabella2[[#This Row],[upstream_dr]]+Tabella2[[#This Row],[downstream_dr]]=2, "1", " ")</f>
        <v xml:space="preserve"> </v>
      </c>
      <c r="J123" s="6"/>
      <c r="L123" s="1" t="s">
        <v>282</v>
      </c>
      <c r="M123" s="2">
        <v>7</v>
      </c>
      <c r="N12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24" spans="1:14" ht="14.75" customHeight="1" x14ac:dyDescent="0.35">
      <c r="A124" s="14" t="s">
        <v>283</v>
      </c>
      <c r="B124" s="6">
        <v>2007</v>
      </c>
      <c r="C12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24" s="6">
        <f>2023-Tabella2[[#This Row],[foundation_launch_year]]</f>
        <v>16</v>
      </c>
      <c r="E124" s="6" t="s">
        <v>130</v>
      </c>
      <c r="F124" s="6" t="s">
        <v>277</v>
      </c>
      <c r="G124" s="12">
        <v>1</v>
      </c>
      <c r="I124" s="12" t="str">
        <f>IF(Tabella2[[#This Row],[upstream_dr]]+Tabella2[[#This Row],[downstream_dr]]=2, "1", " ")</f>
        <v xml:space="preserve"> </v>
      </c>
      <c r="J124" s="6"/>
      <c r="L124" s="1" t="s">
        <v>284</v>
      </c>
      <c r="M124" s="2">
        <v>8</v>
      </c>
      <c r="N12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25" spans="1:14" ht="14.75" customHeight="1" x14ac:dyDescent="0.35">
      <c r="A125" s="14" t="s">
        <v>285</v>
      </c>
      <c r="B125" s="6">
        <v>2007</v>
      </c>
      <c r="C12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25" s="6">
        <f>2023-Tabella2[[#This Row],[foundation_launch_year]]</f>
        <v>16</v>
      </c>
      <c r="E125" s="6" t="s">
        <v>130</v>
      </c>
      <c r="F125" s="6" t="s">
        <v>277</v>
      </c>
      <c r="G125" s="12">
        <v>1</v>
      </c>
      <c r="I125" s="12" t="str">
        <f>IF(Tabella2[[#This Row],[upstream_dr]]+Tabella2[[#This Row],[downstream_dr]]=2, "1", " ")</f>
        <v xml:space="preserve"> </v>
      </c>
      <c r="J125" s="6"/>
      <c r="L125" s="1" t="s">
        <v>286</v>
      </c>
      <c r="M125" s="2">
        <v>255</v>
      </c>
      <c r="N12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126" spans="1:14" ht="14.75" customHeight="1" x14ac:dyDescent="0.35">
      <c r="A126" s="14" t="s">
        <v>287</v>
      </c>
      <c r="B126" s="6">
        <v>2014</v>
      </c>
      <c r="C12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26" s="6">
        <f>2023-Tabella2[[#This Row],[foundation_launch_year]]</f>
        <v>9</v>
      </c>
      <c r="E126" s="6" t="s">
        <v>130</v>
      </c>
      <c r="F126" s="6" t="s">
        <v>277</v>
      </c>
      <c r="G126" s="12">
        <v>1</v>
      </c>
      <c r="I126" s="12" t="str">
        <f>IF(Tabella2[[#This Row],[upstream_dr]]+Tabella2[[#This Row],[downstream_dr]]=2, "1", " ")</f>
        <v xml:space="preserve"> </v>
      </c>
      <c r="J126" s="6"/>
      <c r="L126" s="1" t="s">
        <v>288</v>
      </c>
      <c r="M126" s="2">
        <v>57</v>
      </c>
      <c r="N12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27" spans="1:14" ht="14.75" customHeight="1" x14ac:dyDescent="0.35">
      <c r="A127" s="14" t="s">
        <v>289</v>
      </c>
      <c r="B127" s="6">
        <v>2004</v>
      </c>
      <c r="C12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27" s="6">
        <f>2023-Tabella2[[#This Row],[foundation_launch_year]]</f>
        <v>19</v>
      </c>
      <c r="E127" s="6" t="s">
        <v>130</v>
      </c>
      <c r="F127" s="6" t="s">
        <v>277</v>
      </c>
      <c r="G127" s="23">
        <v>1</v>
      </c>
      <c r="I127" s="12" t="str">
        <f>IF(Tabella2[[#This Row],[upstream_dr]]+Tabella2[[#This Row],[downstream_dr]]=2, "1", " ")</f>
        <v xml:space="preserve"> </v>
      </c>
      <c r="J127" s="6"/>
      <c r="L127" s="1" t="s">
        <v>290</v>
      </c>
      <c r="M127" s="2">
        <v>9</v>
      </c>
      <c r="N12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28" spans="1:14" ht="14.75" customHeight="1" x14ac:dyDescent="0.35">
      <c r="A128" s="14" t="s">
        <v>291</v>
      </c>
      <c r="B128" s="6">
        <v>2001</v>
      </c>
      <c r="C12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28" s="6">
        <f>2023-Tabella2[[#This Row],[foundation_launch_year]]</f>
        <v>22</v>
      </c>
      <c r="E128" s="6" t="s">
        <v>130</v>
      </c>
      <c r="F128" s="6" t="s">
        <v>277</v>
      </c>
      <c r="H128" s="23">
        <v>1</v>
      </c>
      <c r="I128" s="12" t="str">
        <f>IF(Tabella2[[#This Row],[upstream_dr]]+Tabella2[[#This Row],[downstream_dr]]=2, "1", " ")</f>
        <v xml:space="preserve"> </v>
      </c>
      <c r="J128" s="6"/>
      <c r="L128" s="1" t="s">
        <v>292</v>
      </c>
      <c r="M128" s="2">
        <v>3</v>
      </c>
      <c r="N12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29" spans="1:14" ht="14.75" customHeight="1" x14ac:dyDescent="0.35">
      <c r="A129" s="14" t="s">
        <v>293</v>
      </c>
      <c r="B129" s="6">
        <v>1864</v>
      </c>
      <c r="C12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29" s="6">
        <f>2023-Tabella2[[#This Row],[foundation_launch_year]]</f>
        <v>159</v>
      </c>
      <c r="E129" s="6" t="s">
        <v>130</v>
      </c>
      <c r="F129" s="6" t="s">
        <v>277</v>
      </c>
      <c r="H129" s="23">
        <v>1</v>
      </c>
      <c r="I129" s="12" t="str">
        <f>IF(Tabella2[[#This Row],[upstream_dr]]+Tabella2[[#This Row],[downstream_dr]]=2, "1", " ")</f>
        <v xml:space="preserve"> </v>
      </c>
      <c r="J129" s="6"/>
      <c r="L129" s="1" t="s">
        <v>294</v>
      </c>
      <c r="M129" s="2">
        <v>11</v>
      </c>
      <c r="N12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30" spans="1:14" ht="14.75" customHeight="1" x14ac:dyDescent="0.35">
      <c r="A130" s="14" t="s">
        <v>295</v>
      </c>
      <c r="B130" s="6">
        <v>1946</v>
      </c>
      <c r="C13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30" s="6">
        <f>2023-Tabella2[[#This Row],[foundation_launch_year]]</f>
        <v>77</v>
      </c>
      <c r="E130" s="6" t="s">
        <v>130</v>
      </c>
      <c r="F130" s="6" t="s">
        <v>277</v>
      </c>
      <c r="G130" s="23">
        <v>1</v>
      </c>
      <c r="I130" s="12" t="str">
        <f>IF(Tabella2[[#This Row],[upstream_dr]]+Tabella2[[#This Row],[downstream_dr]]=2, "1", " ")</f>
        <v xml:space="preserve"> </v>
      </c>
      <c r="J130" s="6"/>
      <c r="L130" s="1" t="s">
        <v>296</v>
      </c>
      <c r="M130" s="2">
        <v>3</v>
      </c>
      <c r="N13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31" spans="1:14" ht="14.75" customHeight="1" x14ac:dyDescent="0.35">
      <c r="A131" s="7" t="s">
        <v>297</v>
      </c>
      <c r="B131" s="6">
        <v>2017</v>
      </c>
      <c r="C13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31" s="6">
        <f>2023-Tabella2[[#This Row],[foundation_launch_year]]</f>
        <v>6</v>
      </c>
      <c r="E131" s="6" t="s">
        <v>110</v>
      </c>
      <c r="F131" s="6" t="s">
        <v>298</v>
      </c>
      <c r="H131" s="12">
        <v>1</v>
      </c>
      <c r="I131" s="12" t="str">
        <f>IF(Tabella2[[#This Row],[upstream_dr]]+Tabella2[[#This Row],[downstream_dr]]=2, "1", " ")</f>
        <v xml:space="preserve"> </v>
      </c>
      <c r="J131" s="6"/>
      <c r="L131" s="1" t="s">
        <v>299</v>
      </c>
      <c r="M131" s="2">
        <v>12</v>
      </c>
      <c r="N13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32" spans="1:14" ht="14.75" customHeight="1" x14ac:dyDescent="0.35">
      <c r="A132" s="7" t="s">
        <v>300</v>
      </c>
      <c r="B132" s="6">
        <v>2014</v>
      </c>
      <c r="C13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32" s="6">
        <f>2023-Tabella2[[#This Row],[foundation_launch_year]]</f>
        <v>9</v>
      </c>
      <c r="E132" s="6" t="s">
        <v>110</v>
      </c>
      <c r="F132" s="6" t="s">
        <v>298</v>
      </c>
      <c r="G132" s="12">
        <v>1</v>
      </c>
      <c r="I132" s="12" t="str">
        <f>IF(Tabella2[[#This Row],[upstream_dr]]+Tabella2[[#This Row],[downstream_dr]]=2, "1", " ")</f>
        <v xml:space="preserve"> </v>
      </c>
      <c r="J132" s="6"/>
      <c r="L132" s="1" t="s">
        <v>301</v>
      </c>
      <c r="M132" s="2">
        <v>75</v>
      </c>
      <c r="N13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33" spans="1:14" ht="14.75" customHeight="1" x14ac:dyDescent="0.35">
      <c r="A133" s="14" t="s">
        <v>302</v>
      </c>
      <c r="B133" s="6">
        <v>2017</v>
      </c>
      <c r="C13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33" s="6">
        <f>2023-Tabella2[[#This Row],[foundation_launch_year]]</f>
        <v>6</v>
      </c>
      <c r="E133" s="6" t="s">
        <v>110</v>
      </c>
      <c r="F133" s="6" t="s">
        <v>298</v>
      </c>
      <c r="G133" s="23"/>
      <c r="H133" s="23"/>
      <c r="I133" s="12">
        <v>1</v>
      </c>
      <c r="J133" s="6"/>
      <c r="L133" s="1" t="s">
        <v>303</v>
      </c>
      <c r="M133" s="2">
        <v>12</v>
      </c>
      <c r="N13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34" spans="1:14" ht="14.75" customHeight="1" x14ac:dyDescent="0.35">
      <c r="A134" s="14" t="s">
        <v>304</v>
      </c>
      <c r="B134" s="6">
        <v>2012</v>
      </c>
      <c r="C13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34" s="6">
        <f>2023-Tabella2[[#This Row],[foundation_launch_year]]</f>
        <v>11</v>
      </c>
      <c r="E134" s="6" t="s">
        <v>110</v>
      </c>
      <c r="F134" s="6" t="s">
        <v>298</v>
      </c>
      <c r="G134" s="23">
        <v>1</v>
      </c>
      <c r="I134" s="12" t="str">
        <f>IF(Tabella2[[#This Row],[upstream_dr]]+Tabella2[[#This Row],[downstream_dr]]=2, "1", " ")</f>
        <v xml:space="preserve"> </v>
      </c>
      <c r="J134" s="6"/>
      <c r="L134" s="1" t="s">
        <v>305</v>
      </c>
      <c r="M134" s="2">
        <v>27</v>
      </c>
      <c r="N13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135" spans="1:14" ht="14.75" customHeight="1" x14ac:dyDescent="0.35">
      <c r="A135" s="14" t="s">
        <v>306</v>
      </c>
      <c r="B135" s="6">
        <v>2009</v>
      </c>
      <c r="C13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35" s="6">
        <f>2023-Tabella2[[#This Row],[foundation_launch_year]]</f>
        <v>14</v>
      </c>
      <c r="E135" s="6" t="s">
        <v>110</v>
      </c>
      <c r="F135" s="6" t="s">
        <v>298</v>
      </c>
      <c r="H135" s="23">
        <v>1</v>
      </c>
      <c r="I135" s="12" t="str">
        <f>IF(Tabella2[[#This Row],[upstream_dr]]+Tabella2[[#This Row],[downstream_dr]]=2, "1", " ")</f>
        <v xml:space="preserve"> </v>
      </c>
      <c r="J135" s="6"/>
      <c r="L135" s="1" t="s">
        <v>307</v>
      </c>
      <c r="M135" s="2">
        <v>1</v>
      </c>
      <c r="N13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36" spans="1:14" ht="14.75" customHeight="1" x14ac:dyDescent="0.35">
      <c r="A136" s="14" t="s">
        <v>308</v>
      </c>
      <c r="B136" s="24">
        <v>2020</v>
      </c>
      <c r="C136" s="24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36" s="24">
        <f>2023-Tabella2[[#This Row],[foundation_launch_year]]</f>
        <v>3</v>
      </c>
      <c r="E136" s="6" t="s">
        <v>110</v>
      </c>
      <c r="F136" s="6" t="s">
        <v>298</v>
      </c>
      <c r="G136" s="23">
        <v>1</v>
      </c>
      <c r="I136" s="12" t="str">
        <f>IF(Tabella2[[#This Row],[upstream_dr]]+Tabella2[[#This Row],[downstream_dr]]=2, "1", " ")</f>
        <v xml:space="preserve"> </v>
      </c>
      <c r="J136" s="6"/>
      <c r="L136" s="1" t="s">
        <v>309</v>
      </c>
      <c r="M136" s="2">
        <v>1</v>
      </c>
      <c r="N13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37" spans="1:14" ht="14.75" customHeight="1" x14ac:dyDescent="0.35">
      <c r="A137" s="7" t="s">
        <v>310</v>
      </c>
      <c r="B137" s="6">
        <v>2009</v>
      </c>
      <c r="C13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37" s="6">
        <f>2023-Tabella2[[#This Row],[foundation_launch_year]]</f>
        <v>14</v>
      </c>
      <c r="E137" s="6" t="s">
        <v>130</v>
      </c>
      <c r="F137" s="6" t="s">
        <v>311</v>
      </c>
      <c r="G137" s="23">
        <v>1</v>
      </c>
      <c r="I137" s="12" t="str">
        <f>IF(Tabella2[[#This Row],[upstream_dr]]+Tabella2[[#This Row],[downstream_dr]]=2, "1", " ")</f>
        <v xml:space="preserve"> </v>
      </c>
      <c r="J137" s="6"/>
      <c r="L137" s="1" t="s">
        <v>312</v>
      </c>
      <c r="M137" s="2">
        <v>46</v>
      </c>
      <c r="N13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138" spans="1:14" ht="14.75" customHeight="1" x14ac:dyDescent="0.35">
      <c r="A138" s="7" t="s">
        <v>313</v>
      </c>
      <c r="B138" s="6">
        <v>1981</v>
      </c>
      <c r="C13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38" s="6">
        <f>2023-Tabella2[[#This Row],[foundation_launch_year]]</f>
        <v>42</v>
      </c>
      <c r="E138" s="6" t="s">
        <v>130</v>
      </c>
      <c r="F138" s="6" t="s">
        <v>311</v>
      </c>
      <c r="H138" s="23">
        <v>1</v>
      </c>
      <c r="I138" s="12" t="str">
        <f>IF(Tabella2[[#This Row],[upstream_dr]]+Tabella2[[#This Row],[downstream_dr]]=2, "1", " ")</f>
        <v xml:space="preserve"> </v>
      </c>
      <c r="J138" s="6"/>
      <c r="L138" s="1" t="s">
        <v>314</v>
      </c>
      <c r="M138" s="4">
        <v>13</v>
      </c>
      <c r="N13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39" spans="1:14" ht="14.75" customHeight="1" x14ac:dyDescent="0.35">
      <c r="A139" s="7" t="s">
        <v>315</v>
      </c>
      <c r="B139" s="6">
        <v>2010</v>
      </c>
      <c r="C13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39" s="6">
        <f>2023-Tabella2[[#This Row],[foundation_launch_year]]</f>
        <v>13</v>
      </c>
      <c r="E139" s="6" t="s">
        <v>130</v>
      </c>
      <c r="F139" s="6" t="s">
        <v>311</v>
      </c>
      <c r="H139" s="23">
        <v>1</v>
      </c>
      <c r="I139" s="12" t="str">
        <f>IF(Tabella2[[#This Row],[upstream_dr]]+Tabella2[[#This Row],[downstream_dr]]=2, "1", " ")</f>
        <v xml:space="preserve"> </v>
      </c>
      <c r="J139" s="6"/>
      <c r="L139" s="1" t="s">
        <v>316</v>
      </c>
      <c r="M139" s="2">
        <v>203</v>
      </c>
      <c r="N13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100-300</v>
      </c>
    </row>
    <row r="140" spans="1:14" ht="14.75" customHeight="1" x14ac:dyDescent="0.35">
      <c r="A140" s="14" t="s">
        <v>317</v>
      </c>
      <c r="B140" s="6">
        <v>2018</v>
      </c>
      <c r="C14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40" s="6">
        <f>2023-Tabella2[[#This Row],[foundation_launch_year]]</f>
        <v>5</v>
      </c>
      <c r="E140" s="6" t="s">
        <v>130</v>
      </c>
      <c r="F140" s="6" t="s">
        <v>311</v>
      </c>
      <c r="H140" s="12">
        <v>1</v>
      </c>
      <c r="I140" s="12" t="str">
        <f>IF(Tabella2[[#This Row],[upstream_dr]]+Tabella2[[#This Row],[downstream_dr]]=2, "1", " ")</f>
        <v xml:space="preserve"> </v>
      </c>
      <c r="J140" s="6"/>
      <c r="L140" s="1" t="s">
        <v>318</v>
      </c>
      <c r="M140" s="2">
        <v>6</v>
      </c>
      <c r="N14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41" spans="1:14" ht="14.75" customHeight="1" x14ac:dyDescent="0.35">
      <c r="A141" s="18" t="s">
        <v>319</v>
      </c>
      <c r="B141" s="6">
        <v>2016</v>
      </c>
      <c r="C14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41" s="6">
        <f>2023-Tabella2[[#This Row],[foundation_launch_year]]</f>
        <v>7</v>
      </c>
      <c r="E141" s="6" t="s">
        <v>130</v>
      </c>
      <c r="F141" s="6" t="s">
        <v>311</v>
      </c>
      <c r="H141" s="12">
        <v>1</v>
      </c>
      <c r="I141" s="12" t="str">
        <f>IF(Tabella2[[#This Row],[upstream_dr]]+Tabella2[[#This Row],[downstream_dr]]=2, "1", " ")</f>
        <v xml:space="preserve"> </v>
      </c>
      <c r="J141" s="6"/>
      <c r="L141" s="9" t="s">
        <v>320</v>
      </c>
      <c r="M141" s="4">
        <v>26</v>
      </c>
      <c r="N14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142" spans="1:14" ht="14.75" customHeight="1" x14ac:dyDescent="0.35">
      <c r="A142" s="14" t="s">
        <v>321</v>
      </c>
      <c r="B142" s="6">
        <v>2011</v>
      </c>
      <c r="C14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42" s="6">
        <f>2023-Tabella2[[#This Row],[foundation_launch_year]]</f>
        <v>12</v>
      </c>
      <c r="E142" s="6" t="s">
        <v>130</v>
      </c>
      <c r="F142" s="6" t="s">
        <v>311</v>
      </c>
      <c r="G142" s="12">
        <v>1</v>
      </c>
      <c r="I142" s="12" t="str">
        <f>IF(Tabella2[[#This Row],[upstream_dr]]+Tabella2[[#This Row],[downstream_dr]]=2, "1", " ")</f>
        <v xml:space="preserve"> </v>
      </c>
      <c r="J142" s="6"/>
      <c r="L142" s="1" t="s">
        <v>322</v>
      </c>
      <c r="M142" s="2">
        <v>9</v>
      </c>
      <c r="N14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43" spans="1:14" ht="14.75" customHeight="1" x14ac:dyDescent="0.35">
      <c r="A143" s="20" t="s">
        <v>323</v>
      </c>
      <c r="B143" s="6">
        <v>2003</v>
      </c>
      <c r="C14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43" s="6">
        <f>2023-Tabella2[[#This Row],[foundation_launch_year]]</f>
        <v>20</v>
      </c>
      <c r="E143" s="6" t="s">
        <v>130</v>
      </c>
      <c r="F143" s="6" t="s">
        <v>311</v>
      </c>
      <c r="G143" s="12">
        <v>1</v>
      </c>
      <c r="I143" s="12" t="str">
        <f>IF(Tabella2[[#This Row],[upstream_dr]]+Tabella2[[#This Row],[downstream_dr]]=2, "1", " ")</f>
        <v xml:space="preserve"> </v>
      </c>
      <c r="J143" s="6"/>
      <c r="L143" s="21" t="s">
        <v>324</v>
      </c>
      <c r="M143" s="13">
        <v>6</v>
      </c>
      <c r="N14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44" spans="1:14" ht="14.75" customHeight="1" x14ac:dyDescent="0.35">
      <c r="A144" s="14" t="s">
        <v>325</v>
      </c>
      <c r="B144" s="6">
        <v>2014</v>
      </c>
      <c r="C14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44" s="6">
        <f>2023-Tabella2[[#This Row],[foundation_launch_year]]</f>
        <v>9</v>
      </c>
      <c r="E144" s="6" t="s">
        <v>130</v>
      </c>
      <c r="F144" s="6" t="s">
        <v>311</v>
      </c>
      <c r="G144" s="12">
        <v>1</v>
      </c>
      <c r="I144" s="12" t="str">
        <f>IF(Tabella2[[#This Row],[upstream_dr]]+Tabella2[[#This Row],[downstream_dr]]=2, "1", " ")</f>
        <v xml:space="preserve"> </v>
      </c>
      <c r="J144" s="6"/>
      <c r="L144" s="1" t="s">
        <v>326</v>
      </c>
      <c r="M144" s="2">
        <v>41</v>
      </c>
      <c r="N14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26-50</v>
      </c>
    </row>
    <row r="145" spans="1:14" ht="14.75" customHeight="1" x14ac:dyDescent="0.35">
      <c r="A145" s="14" t="s">
        <v>327</v>
      </c>
      <c r="B145" s="6">
        <v>2013</v>
      </c>
      <c r="C14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45" s="6">
        <f>2023-Tabella2[[#This Row],[foundation_launch_year]]</f>
        <v>10</v>
      </c>
      <c r="E145" s="6" t="s">
        <v>130</v>
      </c>
      <c r="F145" s="6" t="s">
        <v>311</v>
      </c>
      <c r="G145" s="12">
        <v>1</v>
      </c>
      <c r="I145" s="12" t="str">
        <f>IF(Tabella2[[#This Row],[upstream_dr]]+Tabella2[[#This Row],[downstream_dr]]=2, "1", " ")</f>
        <v xml:space="preserve"> </v>
      </c>
      <c r="J145" s="6"/>
      <c r="L145" s="1" t="s">
        <v>328</v>
      </c>
      <c r="M145" s="2">
        <v>19</v>
      </c>
      <c r="N14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46" spans="1:14" ht="14.75" customHeight="1" x14ac:dyDescent="0.35">
      <c r="A146" s="14" t="s">
        <v>329</v>
      </c>
      <c r="B146" s="6">
        <v>2016</v>
      </c>
      <c r="C14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46" s="6">
        <f>2023-Tabella2[[#This Row],[foundation_launch_year]]</f>
        <v>7</v>
      </c>
      <c r="E146" s="6" t="s">
        <v>130</v>
      </c>
      <c r="F146" s="6" t="s">
        <v>311</v>
      </c>
      <c r="H146" s="12">
        <v>1</v>
      </c>
      <c r="I146" s="12" t="str">
        <f>IF(Tabella2[[#This Row],[upstream_dr]]+Tabella2[[#This Row],[downstream_dr]]=2, "1", " ")</f>
        <v xml:space="preserve"> </v>
      </c>
      <c r="J146" s="6"/>
      <c r="L146" s="1" t="s">
        <v>330</v>
      </c>
      <c r="M146" s="2">
        <v>12</v>
      </c>
      <c r="N14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47" spans="1:14" ht="14.75" customHeight="1" x14ac:dyDescent="0.35">
      <c r="A147" s="14" t="s">
        <v>331</v>
      </c>
      <c r="B147" s="6">
        <v>1992</v>
      </c>
      <c r="C14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47" s="6">
        <f>2023-Tabella2[[#This Row],[foundation_launch_year]]</f>
        <v>31</v>
      </c>
      <c r="E147" s="6" t="s">
        <v>130</v>
      </c>
      <c r="F147" s="6" t="s">
        <v>311</v>
      </c>
      <c r="G147" s="23">
        <v>1</v>
      </c>
      <c r="I147" s="12" t="str">
        <f>IF(Tabella2[[#This Row],[upstream_dr]]+Tabella2[[#This Row],[downstream_dr]]=2, "1", " ")</f>
        <v xml:space="preserve"> </v>
      </c>
      <c r="J147" s="6"/>
      <c r="L147" s="1" t="s">
        <v>332</v>
      </c>
      <c r="M147" s="2">
        <v>2</v>
      </c>
      <c r="N14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48" spans="1:14" ht="14.75" customHeight="1" x14ac:dyDescent="0.35">
      <c r="A148" s="18" t="s">
        <v>333</v>
      </c>
      <c r="B148" s="6">
        <v>2007</v>
      </c>
      <c r="C14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48" s="6">
        <f>2023-Tabella2[[#This Row],[foundation_launch_year]]</f>
        <v>16</v>
      </c>
      <c r="E148" s="6" t="s">
        <v>130</v>
      </c>
      <c r="F148" s="6" t="s">
        <v>311</v>
      </c>
      <c r="G148" s="23">
        <v>1</v>
      </c>
      <c r="I148" s="12" t="str">
        <f>IF(Tabella2[[#This Row],[upstream_dr]]+Tabella2[[#This Row],[downstream_dr]]=2, "1", " ")</f>
        <v xml:space="preserve"> </v>
      </c>
      <c r="J148" s="6"/>
      <c r="L148" s="9" t="s">
        <v>334</v>
      </c>
      <c r="M148" s="4">
        <v>12</v>
      </c>
      <c r="N14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49" spans="1:14" ht="14.75" customHeight="1" x14ac:dyDescent="0.35">
      <c r="A149" s="18" t="s">
        <v>335</v>
      </c>
      <c r="B149" s="6">
        <v>2017</v>
      </c>
      <c r="C14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49" s="6">
        <f>2023-Tabella2[[#This Row],[foundation_launch_year]]</f>
        <v>6</v>
      </c>
      <c r="E149" s="6" t="s">
        <v>130</v>
      </c>
      <c r="F149" s="6" t="s">
        <v>311</v>
      </c>
      <c r="H149" s="23">
        <v>1</v>
      </c>
      <c r="I149" s="12" t="str">
        <f>IF(Tabella2[[#This Row],[upstream_dr]]+Tabella2[[#This Row],[downstream_dr]]=2, "1", " ")</f>
        <v xml:space="preserve"> </v>
      </c>
      <c r="J149" s="6"/>
      <c r="L149" s="9" t="s">
        <v>336</v>
      </c>
      <c r="M149" s="4">
        <v>17</v>
      </c>
      <c r="N14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50" spans="1:14" ht="14.75" customHeight="1" x14ac:dyDescent="0.35">
      <c r="A150" s="18" t="s">
        <v>337</v>
      </c>
      <c r="B150" s="6">
        <v>2017</v>
      </c>
      <c r="C15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50" s="6">
        <f>2023-Tabella2[[#This Row],[foundation_launch_year]]</f>
        <v>6</v>
      </c>
      <c r="E150" s="6" t="s">
        <v>130</v>
      </c>
      <c r="F150" s="6" t="s">
        <v>311</v>
      </c>
      <c r="H150" s="23">
        <v>1</v>
      </c>
      <c r="I150" s="12" t="str">
        <f>IF(Tabella2[[#This Row],[upstream_dr]]+Tabella2[[#This Row],[downstream_dr]]=2, "1", " ")</f>
        <v xml:space="preserve"> </v>
      </c>
      <c r="J150" s="6"/>
      <c r="L150" s="9" t="s">
        <v>338</v>
      </c>
      <c r="M150" s="4">
        <v>8</v>
      </c>
      <c r="N15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51" spans="1:14" ht="14.75" customHeight="1" x14ac:dyDescent="0.35">
      <c r="A151" s="18" t="s">
        <v>339</v>
      </c>
      <c r="B151" s="6">
        <v>2018</v>
      </c>
      <c r="C15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51" s="6">
        <f>2023-Tabella2[[#This Row],[foundation_launch_year]]</f>
        <v>5</v>
      </c>
      <c r="E151" s="6" t="s">
        <v>130</v>
      </c>
      <c r="F151" s="6" t="s">
        <v>311</v>
      </c>
      <c r="H151" s="23">
        <v>1</v>
      </c>
      <c r="I151" s="12" t="str">
        <f>IF(Tabella2[[#This Row],[upstream_dr]]+Tabella2[[#This Row],[downstream_dr]]=2, "1", " ")</f>
        <v xml:space="preserve"> </v>
      </c>
      <c r="J151" s="6"/>
      <c r="L151" s="9" t="s">
        <v>340</v>
      </c>
      <c r="M151" s="4">
        <v>2</v>
      </c>
      <c r="N151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52" spans="1:14" ht="14.75" customHeight="1" x14ac:dyDescent="0.35">
      <c r="A152" s="18" t="s">
        <v>341</v>
      </c>
      <c r="B152" s="6">
        <v>2007</v>
      </c>
      <c r="C15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52" s="6">
        <f>2023-Tabella2[[#This Row],[foundation_launch_year]]</f>
        <v>16</v>
      </c>
      <c r="E152" s="6" t="s">
        <v>130</v>
      </c>
      <c r="F152" s="6" t="s">
        <v>311</v>
      </c>
      <c r="H152" s="23">
        <v>1</v>
      </c>
      <c r="I152" s="12" t="str">
        <f>IF(Tabella2[[#This Row],[upstream_dr]]+Tabella2[[#This Row],[downstream_dr]]=2, "1", " ")</f>
        <v xml:space="preserve"> </v>
      </c>
      <c r="J152" s="6"/>
      <c r="L152" s="9" t="s">
        <v>342</v>
      </c>
      <c r="M152" s="4">
        <v>3</v>
      </c>
      <c r="N152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53" spans="1:14" ht="14.75" customHeight="1" x14ac:dyDescent="0.35">
      <c r="A153" s="18" t="s">
        <v>343</v>
      </c>
      <c r="B153" s="6">
        <v>2016</v>
      </c>
      <c r="C15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53" s="6">
        <f>2023-Tabella2[[#This Row],[foundation_launch_year]]</f>
        <v>7</v>
      </c>
      <c r="E153" s="6" t="s">
        <v>130</v>
      </c>
      <c r="F153" s="6" t="s">
        <v>311</v>
      </c>
      <c r="G153" s="23">
        <v>1</v>
      </c>
      <c r="I153" s="12" t="str">
        <f>IF(Tabella2[[#This Row],[upstream_dr]]+Tabella2[[#This Row],[downstream_dr]]=2, "1", " ")</f>
        <v xml:space="preserve"> </v>
      </c>
      <c r="J153" s="6"/>
      <c r="L153" s="9" t="s">
        <v>344</v>
      </c>
      <c r="M153" s="4">
        <v>5</v>
      </c>
      <c r="N153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54" spans="1:14" ht="14.75" customHeight="1" x14ac:dyDescent="0.35">
      <c r="A154" s="18" t="s">
        <v>345</v>
      </c>
      <c r="B154" s="6">
        <v>2018</v>
      </c>
      <c r="C15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54" s="6">
        <f>2023-Tabella2[[#This Row],[foundation_launch_year]]</f>
        <v>5</v>
      </c>
      <c r="E154" s="6" t="s">
        <v>130</v>
      </c>
      <c r="F154" s="6" t="s">
        <v>311</v>
      </c>
      <c r="H154" s="23">
        <v>1</v>
      </c>
      <c r="I154" s="12" t="str">
        <f>IF(Tabella2[[#This Row],[upstream_dr]]+Tabella2[[#This Row],[downstream_dr]]=2, "1", " ")</f>
        <v xml:space="preserve"> </v>
      </c>
      <c r="J154" s="6"/>
      <c r="L154" s="9" t="s">
        <v>346</v>
      </c>
      <c r="M154" s="4">
        <v>3</v>
      </c>
      <c r="N154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55" spans="1:14" ht="14.75" customHeight="1" x14ac:dyDescent="0.35">
      <c r="A155" s="18" t="s">
        <v>347</v>
      </c>
      <c r="B155" s="6">
        <v>2020</v>
      </c>
      <c r="C15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55" s="6">
        <f>2023-Tabella2[[#This Row],[foundation_launch_year]]</f>
        <v>3</v>
      </c>
      <c r="E155" s="6" t="s">
        <v>130</v>
      </c>
      <c r="F155" s="6" t="s">
        <v>311</v>
      </c>
      <c r="G155" s="23">
        <v>1</v>
      </c>
      <c r="I155" s="12" t="str">
        <f>IF(Tabella2[[#This Row],[upstream_dr]]+Tabella2[[#This Row],[downstream_dr]]=2, "1", " ")</f>
        <v xml:space="preserve"> </v>
      </c>
      <c r="J155" s="6"/>
      <c r="L155" s="9" t="s">
        <v>348</v>
      </c>
      <c r="M155" s="4">
        <v>2</v>
      </c>
      <c r="N155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56" spans="1:14" ht="14.75" customHeight="1" x14ac:dyDescent="0.35">
      <c r="A156" s="18" t="s">
        <v>349</v>
      </c>
      <c r="B156" s="6">
        <v>2000</v>
      </c>
      <c r="C15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56" s="6">
        <f>2023-Tabella2[[#This Row],[foundation_launch_year]]</f>
        <v>23</v>
      </c>
      <c r="E156" s="6" t="s">
        <v>130</v>
      </c>
      <c r="F156" s="6" t="s">
        <v>311</v>
      </c>
      <c r="G156" s="23">
        <v>1</v>
      </c>
      <c r="I156" s="12" t="str">
        <f>IF(Tabella2[[#This Row],[upstream_dr]]+Tabella2[[#This Row],[downstream_dr]]=2, "1", " ")</f>
        <v xml:space="preserve"> </v>
      </c>
      <c r="J156" s="6"/>
      <c r="L156" s="9" t="s">
        <v>350</v>
      </c>
      <c r="M156" s="4">
        <v>67</v>
      </c>
      <c r="N156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57" spans="1:14" ht="14.75" customHeight="1" x14ac:dyDescent="0.35">
      <c r="A157" s="18" t="s">
        <v>351</v>
      </c>
      <c r="B157" s="6">
        <v>1999</v>
      </c>
      <c r="C15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57" s="6">
        <f>2023-Tabella2[[#This Row],[foundation_launch_year]]</f>
        <v>24</v>
      </c>
      <c r="E157" s="6" t="s">
        <v>130</v>
      </c>
      <c r="F157" s="6" t="s">
        <v>311</v>
      </c>
      <c r="H157" s="23">
        <v>1</v>
      </c>
      <c r="I157" s="12" t="str">
        <f>IF(Tabella2[[#This Row],[upstream_dr]]+Tabella2[[#This Row],[downstream_dr]]=2, "1", " ")</f>
        <v xml:space="preserve"> </v>
      </c>
      <c r="J157" s="6"/>
      <c r="L157" s="9" t="s">
        <v>352</v>
      </c>
      <c r="M157" s="4">
        <v>14</v>
      </c>
      <c r="N157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58" spans="1:14" ht="14.75" customHeight="1" x14ac:dyDescent="0.35">
      <c r="A158" s="18" t="s">
        <v>353</v>
      </c>
      <c r="B158" s="6">
        <v>2009</v>
      </c>
      <c r="C15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58" s="6">
        <f>2023-Tabella2[[#This Row],[foundation_launch_year]]</f>
        <v>14</v>
      </c>
      <c r="E158" s="6" t="s">
        <v>130</v>
      </c>
      <c r="F158" s="6" t="s">
        <v>311</v>
      </c>
      <c r="G158" s="23">
        <v>1</v>
      </c>
      <c r="I158" s="12" t="str">
        <f>IF(Tabella2[[#This Row],[upstream_dr]]+Tabella2[[#This Row],[downstream_dr]]=2, "1", " ")</f>
        <v xml:space="preserve"> </v>
      </c>
      <c r="J158" s="6"/>
      <c r="L158" s="9" t="s">
        <v>354</v>
      </c>
      <c r="M158" s="4">
        <v>13</v>
      </c>
      <c r="N158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59" spans="1:14" ht="14.75" customHeight="1" x14ac:dyDescent="0.35">
      <c r="A159" s="18" t="s">
        <v>355</v>
      </c>
      <c r="B159" s="6">
        <v>1990</v>
      </c>
      <c r="C15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59" s="6">
        <f>2023-Tabella2[[#This Row],[foundation_launch_year]]</f>
        <v>33</v>
      </c>
      <c r="E159" s="6" t="s">
        <v>130</v>
      </c>
      <c r="F159" s="6" t="s">
        <v>311</v>
      </c>
      <c r="G159" s="23">
        <v>1</v>
      </c>
      <c r="I159" s="12" t="str">
        <f>IF(Tabella2[[#This Row],[upstream_dr]]+Tabella2[[#This Row],[downstream_dr]]=2, "1", " ")</f>
        <v xml:space="preserve"> </v>
      </c>
      <c r="J159" s="6"/>
      <c r="L159" s="9" t="s">
        <v>356</v>
      </c>
      <c r="M159" s="4">
        <v>54</v>
      </c>
      <c r="N159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51-100</v>
      </c>
    </row>
    <row r="160" spans="1:14" ht="14.75" customHeight="1" x14ac:dyDescent="0.35">
      <c r="A160" s="18" t="s">
        <v>357</v>
      </c>
      <c r="B160" s="6">
        <v>2013</v>
      </c>
      <c r="C16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60" s="6">
        <f>2023-Tabella2[[#This Row],[foundation_launch_year]]</f>
        <v>10</v>
      </c>
      <c r="E160" s="6" t="s">
        <v>130</v>
      </c>
      <c r="F160" s="6" t="s">
        <v>311</v>
      </c>
      <c r="H160" s="23">
        <v>1</v>
      </c>
      <c r="I160" s="12" t="str">
        <f>IF(Tabella2[[#This Row],[upstream_dr]]+Tabella2[[#This Row],[downstream_dr]]=2, "1", " ")</f>
        <v xml:space="preserve"> </v>
      </c>
      <c r="J160" s="6"/>
      <c r="L160" s="9" t="s">
        <v>358</v>
      </c>
      <c r="M160" s="4">
        <v>8</v>
      </c>
      <c r="N160" s="1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6-25</v>
      </c>
    </row>
    <row r="161" spans="1:14" ht="14.75" hidden="1" customHeight="1" x14ac:dyDescent="0.35">
      <c r="A161" s="19" t="s">
        <v>359</v>
      </c>
      <c r="B161" s="6"/>
      <c r="C16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61" s="6"/>
      <c r="E161" s="6" t="s">
        <v>15</v>
      </c>
      <c r="F161" s="6" t="s">
        <v>16</v>
      </c>
      <c r="H161" s="12">
        <v>1</v>
      </c>
      <c r="I161" s="12" t="str">
        <f>IF(Tabella2[[#This Row],[upstream_dr]]+Tabella2[[#This Row],[downstream_dr]]=2, "1", " ")</f>
        <v xml:space="preserve"> </v>
      </c>
      <c r="J161" s="6">
        <v>1</v>
      </c>
      <c r="K161" s="22" t="s">
        <v>37</v>
      </c>
      <c r="L161" s="9" t="s">
        <v>360</v>
      </c>
      <c r="M161" s="4">
        <v>0</v>
      </c>
      <c r="N161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62" spans="1:14" ht="14.75" hidden="1" customHeight="1" x14ac:dyDescent="0.35">
      <c r="A162" s="19" t="s">
        <v>361</v>
      </c>
      <c r="B162" s="6">
        <v>2006</v>
      </c>
      <c r="C16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62" s="6">
        <f>2023-Tabella2[[#This Row],[foundation_launch_year]]</f>
        <v>17</v>
      </c>
      <c r="E162" s="6" t="s">
        <v>15</v>
      </c>
      <c r="F162" s="6" t="s">
        <v>16</v>
      </c>
      <c r="I162" s="12" t="str">
        <f>IF(Tabella2[[#This Row],[upstream_dr]]+Tabella2[[#This Row],[downstream_dr]]=2, "1", " ")</f>
        <v xml:space="preserve"> </v>
      </c>
      <c r="J162" s="6">
        <v>1</v>
      </c>
      <c r="K162" s="22" t="s">
        <v>362</v>
      </c>
      <c r="L162" s="9" t="s">
        <v>363</v>
      </c>
      <c r="M162" s="4" t="s">
        <v>364</v>
      </c>
      <c r="N16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163" spans="1:14" ht="14.75" hidden="1" customHeight="1" x14ac:dyDescent="0.35">
      <c r="A163" s="19" t="s">
        <v>365</v>
      </c>
      <c r="B163" s="6">
        <v>2017</v>
      </c>
      <c r="C16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63" s="6">
        <f>2023-Tabella2[[#This Row],[foundation_launch_year]]</f>
        <v>6</v>
      </c>
      <c r="E163" s="6" t="s">
        <v>15</v>
      </c>
      <c r="F163" s="6" t="s">
        <v>16</v>
      </c>
      <c r="G163" s="12">
        <v>1</v>
      </c>
      <c r="I163" s="12" t="str">
        <f>IF(Tabella2[[#This Row],[upstream_dr]]+Tabella2[[#This Row],[downstream_dr]]=2, "1", " ")</f>
        <v xml:space="preserve"> </v>
      </c>
      <c r="J163" s="6">
        <v>1</v>
      </c>
      <c r="K163" s="22" t="s">
        <v>362</v>
      </c>
      <c r="L163" s="9" t="s">
        <v>366</v>
      </c>
      <c r="M163" s="4" t="s">
        <v>364</v>
      </c>
      <c r="N163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164" spans="1:14" ht="14.75" hidden="1" customHeight="1" x14ac:dyDescent="0.35">
      <c r="A164" s="10" t="s">
        <v>367</v>
      </c>
      <c r="B164" s="6">
        <v>1981</v>
      </c>
      <c r="C16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64" s="6">
        <f>2023-Tabella2[[#This Row],[foundation_launch_year]]</f>
        <v>42</v>
      </c>
      <c r="E164" s="6" t="s">
        <v>48</v>
      </c>
      <c r="F164" s="6" t="s">
        <v>49</v>
      </c>
      <c r="I164" s="12" t="str">
        <f>IF(Tabella2[[#This Row],[upstream_dr]]+Tabella2[[#This Row],[downstream_dr]]=2, "1", " ")</f>
        <v xml:space="preserve"> </v>
      </c>
      <c r="J164" s="6">
        <v>1</v>
      </c>
      <c r="K164" s="22" t="s">
        <v>33</v>
      </c>
      <c r="L164" s="9" t="s">
        <v>368</v>
      </c>
      <c r="M164" s="4">
        <v>0</v>
      </c>
      <c r="N164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65" spans="1:14" ht="14.75" hidden="1" customHeight="1" x14ac:dyDescent="0.35">
      <c r="A165" s="10" t="s">
        <v>369</v>
      </c>
      <c r="B165" s="6">
        <v>2015</v>
      </c>
      <c r="C16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65" s="6">
        <f>2023-Tabella2[[#This Row],[foundation_launch_year]]</f>
        <v>8</v>
      </c>
      <c r="E165" s="6" t="s">
        <v>80</v>
      </c>
      <c r="F165" s="6" t="s">
        <v>81</v>
      </c>
      <c r="I165" s="12" t="str">
        <f>IF(Tabella2[[#This Row],[upstream_dr]]+Tabella2[[#This Row],[downstream_dr]]=2, "1", " ")</f>
        <v xml:space="preserve"> </v>
      </c>
      <c r="J165" s="6">
        <v>1</v>
      </c>
      <c r="K165" s="22" t="s">
        <v>37</v>
      </c>
      <c r="L165" s="9" t="s">
        <v>370</v>
      </c>
      <c r="M165" s="4">
        <v>0</v>
      </c>
      <c r="N165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66" spans="1:14" ht="14.75" hidden="1" customHeight="1" x14ac:dyDescent="0.35">
      <c r="A166" s="10" t="s">
        <v>371</v>
      </c>
      <c r="B166" s="6">
        <v>1999</v>
      </c>
      <c r="C16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66" s="6">
        <f>2023-Tabella2[[#This Row],[foundation_launch_year]]</f>
        <v>24</v>
      </c>
      <c r="E166" s="6" t="s">
        <v>80</v>
      </c>
      <c r="F166" s="6" t="s">
        <v>81</v>
      </c>
      <c r="I166" s="12" t="str">
        <f>IF(Tabella2[[#This Row],[upstream_dr]]+Tabella2[[#This Row],[downstream_dr]]=2, "1", " ")</f>
        <v xml:space="preserve"> </v>
      </c>
      <c r="J166" s="6">
        <v>1</v>
      </c>
      <c r="K166" s="22" t="s">
        <v>33</v>
      </c>
      <c r="L166" s="9" t="s">
        <v>372</v>
      </c>
      <c r="M166" s="4">
        <v>0</v>
      </c>
      <c r="N166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67" spans="1:14" ht="14.75" hidden="1" customHeight="1" x14ac:dyDescent="0.35">
      <c r="A167" s="10" t="s">
        <v>373</v>
      </c>
      <c r="B167" s="6">
        <v>2002</v>
      </c>
      <c r="C16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67" s="6">
        <f>2023-Tabella2[[#This Row],[foundation_launch_year]]</f>
        <v>21</v>
      </c>
      <c r="E167" s="6" t="s">
        <v>80</v>
      </c>
      <c r="F167" s="6" t="s">
        <v>81</v>
      </c>
      <c r="I167" s="12" t="str">
        <f>IF(Tabella2[[#This Row],[upstream_dr]]+Tabella2[[#This Row],[downstream_dr]]=2, "1", " ")</f>
        <v xml:space="preserve"> </v>
      </c>
      <c r="J167" s="6">
        <v>1</v>
      </c>
      <c r="K167" t="s">
        <v>33</v>
      </c>
      <c r="L167" s="9" t="s">
        <v>374</v>
      </c>
      <c r="M167" s="4">
        <v>0</v>
      </c>
      <c r="N167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68" spans="1:14" ht="14.75" hidden="1" customHeight="1" x14ac:dyDescent="0.35">
      <c r="A168" s="10" t="s">
        <v>375</v>
      </c>
      <c r="B168" s="6">
        <v>2002</v>
      </c>
      <c r="C16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68" s="6">
        <f>2023-Tabella2[[#This Row],[foundation_launch_year]]</f>
        <v>21</v>
      </c>
      <c r="E168" s="6" t="s">
        <v>80</v>
      </c>
      <c r="F168" s="6" t="s">
        <v>81</v>
      </c>
      <c r="I168" s="12" t="str">
        <f>IF(Tabella2[[#This Row],[upstream_dr]]+Tabella2[[#This Row],[downstream_dr]]=2, "1", " ")</f>
        <v xml:space="preserve"> </v>
      </c>
      <c r="J168" s="6">
        <v>1</v>
      </c>
      <c r="K168" t="s">
        <v>37</v>
      </c>
      <c r="L168" s="9" t="s">
        <v>376</v>
      </c>
      <c r="M168" s="4">
        <v>0</v>
      </c>
      <c r="N168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69" spans="1:14" ht="14.75" hidden="1" customHeight="1" x14ac:dyDescent="0.35">
      <c r="A169" s="19" t="s">
        <v>377</v>
      </c>
      <c r="B169" s="6">
        <v>2017</v>
      </c>
      <c r="C16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2015-2022</v>
      </c>
      <c r="D169" s="6">
        <f>2023-Tabella2[[#This Row],[foundation_launch_year]]</f>
        <v>6</v>
      </c>
      <c r="E169" s="6" t="s">
        <v>80</v>
      </c>
      <c r="F169" s="6" t="s">
        <v>81</v>
      </c>
      <c r="G169" s="12">
        <v>1</v>
      </c>
      <c r="I169" s="12" t="str">
        <f>IF(Tabella2[[#This Row],[upstream_dr]]+Tabella2[[#This Row],[downstream_dr]]=2, "1", " ")</f>
        <v xml:space="preserve"> </v>
      </c>
      <c r="J169" s="6">
        <v>1</v>
      </c>
      <c r="K169" t="s">
        <v>37</v>
      </c>
      <c r="L169" s="9" t="s">
        <v>378</v>
      </c>
      <c r="M169" s="4">
        <v>0</v>
      </c>
      <c r="N169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0" spans="1:14" ht="14.75" hidden="1" customHeight="1" x14ac:dyDescent="0.35">
      <c r="A170" s="10" t="s">
        <v>379</v>
      </c>
      <c r="B170" s="6">
        <v>2002</v>
      </c>
      <c r="C17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70" s="6">
        <f>2023-Tabella2[[#This Row],[foundation_launch_year]]</f>
        <v>21</v>
      </c>
      <c r="E170" s="6" t="s">
        <v>80</v>
      </c>
      <c r="F170" s="6" t="s">
        <v>81</v>
      </c>
      <c r="I170" s="12" t="str">
        <f>IF(Tabella2[[#This Row],[upstream_dr]]+Tabella2[[#This Row],[downstream_dr]]=2, "1", " ")</f>
        <v xml:space="preserve"> </v>
      </c>
      <c r="J170" s="6">
        <v>1</v>
      </c>
      <c r="K170" t="s">
        <v>33</v>
      </c>
      <c r="L170" s="9" t="s">
        <v>380</v>
      </c>
      <c r="M170" s="4">
        <v>0</v>
      </c>
      <c r="N170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1" spans="1:14" ht="14.75" hidden="1" customHeight="1" x14ac:dyDescent="0.35">
      <c r="A171" s="19" t="s">
        <v>381</v>
      </c>
      <c r="B171" s="6">
        <v>1983</v>
      </c>
      <c r="C17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71" s="6">
        <f>2023-Tabella2[[#This Row],[foundation_launch_year]]</f>
        <v>40</v>
      </c>
      <c r="E171" s="6" t="s">
        <v>130</v>
      </c>
      <c r="F171" s="6" t="s">
        <v>147</v>
      </c>
      <c r="I171" s="12" t="str">
        <f>IF(Tabella2[[#This Row],[upstream_dr]]+Tabella2[[#This Row],[downstream_dr]]=2, "1", " ")</f>
        <v xml:space="preserve"> </v>
      </c>
      <c r="J171" s="6">
        <v>1</v>
      </c>
      <c r="K171" t="s">
        <v>33</v>
      </c>
      <c r="L171" s="9" t="s">
        <v>382</v>
      </c>
      <c r="M171" s="4">
        <v>0</v>
      </c>
      <c r="N171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2" spans="1:14" ht="14.75" hidden="1" customHeight="1" x14ac:dyDescent="0.35">
      <c r="A172" s="10" t="s">
        <v>383</v>
      </c>
      <c r="B172" s="6"/>
      <c r="C17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72" s="6"/>
      <c r="E172" s="6" t="s">
        <v>130</v>
      </c>
      <c r="F172" s="6" t="s">
        <v>147</v>
      </c>
      <c r="I172" s="12" t="str">
        <f>IF(Tabella2[[#This Row],[upstream_dr]]+Tabella2[[#This Row],[downstream_dr]]=2, "1", " ")</f>
        <v xml:space="preserve"> </v>
      </c>
      <c r="J172" s="6">
        <v>1</v>
      </c>
      <c r="K172" t="s">
        <v>37</v>
      </c>
      <c r="L172" s="9" t="s">
        <v>384</v>
      </c>
      <c r="M172" s="4">
        <v>0</v>
      </c>
      <c r="N17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3" spans="1:14" ht="14.75" hidden="1" customHeight="1" x14ac:dyDescent="0.35">
      <c r="A173" s="10" t="s">
        <v>385</v>
      </c>
      <c r="B173" s="6"/>
      <c r="C17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73" s="6"/>
      <c r="E173" s="6" t="s">
        <v>130</v>
      </c>
      <c r="F173" s="6" t="s">
        <v>147</v>
      </c>
      <c r="I173" s="12" t="str">
        <f>IF(Tabella2[[#This Row],[upstream_dr]]+Tabella2[[#This Row],[downstream_dr]]=2, "1", " ")</f>
        <v xml:space="preserve"> </v>
      </c>
      <c r="J173" s="6">
        <v>1</v>
      </c>
      <c r="K173" t="s">
        <v>33</v>
      </c>
      <c r="L173" s="9" t="s">
        <v>386</v>
      </c>
      <c r="M173" s="4">
        <v>0</v>
      </c>
      <c r="N173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4" spans="1:14" ht="14.75" hidden="1" customHeight="1" x14ac:dyDescent="0.35">
      <c r="A174" s="19" t="s">
        <v>387</v>
      </c>
      <c r="B174" s="6">
        <v>1989</v>
      </c>
      <c r="C17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74" s="6">
        <f>2023-Tabella2[[#This Row],[foundation_launch_year]]</f>
        <v>34</v>
      </c>
      <c r="E174" s="6" t="s">
        <v>110</v>
      </c>
      <c r="F174" s="6" t="s">
        <v>186</v>
      </c>
      <c r="I174" s="12" t="str">
        <f>IF(Tabella2[[#This Row],[upstream_dr]]+Tabella2[[#This Row],[downstream_dr]]=2, "1", " ")</f>
        <v xml:space="preserve"> </v>
      </c>
      <c r="J174" s="6">
        <v>1</v>
      </c>
      <c r="K174" t="s">
        <v>362</v>
      </c>
      <c r="L174" s="9" t="s">
        <v>388</v>
      </c>
      <c r="M174" s="4" t="s">
        <v>364</v>
      </c>
      <c r="N174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175" spans="1:14" ht="14.75" hidden="1" customHeight="1" x14ac:dyDescent="0.35">
      <c r="A175" s="10" t="s">
        <v>389</v>
      </c>
      <c r="B175" s="6">
        <v>2011</v>
      </c>
      <c r="C17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75" s="6">
        <f>2023-Tabella2[[#This Row],[foundation_launch_year]]</f>
        <v>12</v>
      </c>
      <c r="E175" s="6" t="s">
        <v>80</v>
      </c>
      <c r="F175" s="6" t="s">
        <v>191</v>
      </c>
      <c r="G175" s="12">
        <v>1</v>
      </c>
      <c r="I175" s="12" t="str">
        <f>IF(Tabella2[[#This Row],[upstream_dr]]+Tabella2[[#This Row],[downstream_dr]]=2, "1", " ")</f>
        <v xml:space="preserve"> </v>
      </c>
      <c r="J175" s="6">
        <v>1</v>
      </c>
      <c r="K175" t="s">
        <v>37</v>
      </c>
      <c r="L175" s="9" t="s">
        <v>390</v>
      </c>
      <c r="M175" s="4">
        <v>0</v>
      </c>
      <c r="N175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6" spans="1:14" ht="14.75" hidden="1" customHeight="1" x14ac:dyDescent="0.35">
      <c r="A176" s="10" t="s">
        <v>391</v>
      </c>
      <c r="B176" s="6">
        <v>1896</v>
      </c>
      <c r="C17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76" s="6">
        <f>2023-Tabella2[[#This Row],[foundation_launch_year]]</f>
        <v>127</v>
      </c>
      <c r="E176" s="6" t="s">
        <v>80</v>
      </c>
      <c r="F176" s="6" t="s">
        <v>191</v>
      </c>
      <c r="I176" s="12" t="str">
        <f>IF(Tabella2[[#This Row],[upstream_dr]]+Tabella2[[#This Row],[downstream_dr]]=2, "1", " ")</f>
        <v xml:space="preserve"> </v>
      </c>
      <c r="J176" s="6">
        <v>1</v>
      </c>
      <c r="K176" t="s">
        <v>33</v>
      </c>
      <c r="L176" s="9" t="s">
        <v>392</v>
      </c>
      <c r="M176" s="4">
        <v>0</v>
      </c>
      <c r="N176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7" spans="1:14" ht="14.75" hidden="1" customHeight="1" x14ac:dyDescent="0.35">
      <c r="A177" s="10" t="s">
        <v>393</v>
      </c>
      <c r="B177" s="6"/>
      <c r="C17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77" s="6"/>
      <c r="E177" s="6" t="s">
        <v>80</v>
      </c>
      <c r="F177" s="6" t="s">
        <v>191</v>
      </c>
      <c r="I177" s="12" t="str">
        <f>IF(Tabella2[[#This Row],[upstream_dr]]+Tabella2[[#This Row],[downstream_dr]]=2, "1", " ")</f>
        <v xml:space="preserve"> </v>
      </c>
      <c r="J177" s="6">
        <v>1</v>
      </c>
      <c r="K177" t="s">
        <v>33</v>
      </c>
      <c r="L177" s="9" t="s">
        <v>394</v>
      </c>
      <c r="M177" s="4">
        <v>0</v>
      </c>
      <c r="N177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8" spans="1:14" ht="14.75" hidden="1" customHeight="1" x14ac:dyDescent="0.35">
      <c r="A178" s="19" t="s">
        <v>395</v>
      </c>
      <c r="B178" s="6">
        <v>1961</v>
      </c>
      <c r="C17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78" s="6">
        <f>2023-Tabella2[[#This Row],[foundation_launch_year]]</f>
        <v>62</v>
      </c>
      <c r="E178" s="6" t="s">
        <v>80</v>
      </c>
      <c r="F178" s="6" t="s">
        <v>191</v>
      </c>
      <c r="I178" s="12" t="str">
        <f>IF(Tabella2[[#This Row],[upstream_dr]]+Tabella2[[#This Row],[downstream_dr]]=2, "1", " ")</f>
        <v xml:space="preserve"> </v>
      </c>
      <c r="J178" s="6">
        <v>1</v>
      </c>
      <c r="K178" t="s">
        <v>37</v>
      </c>
      <c r="L178" s="9" t="s">
        <v>396</v>
      </c>
      <c r="M178" s="4">
        <v>0</v>
      </c>
      <c r="N178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79" spans="1:14" ht="14.75" hidden="1" customHeight="1" x14ac:dyDescent="0.35">
      <c r="A179" s="19" t="s">
        <v>397</v>
      </c>
      <c r="B179" s="6">
        <v>1937</v>
      </c>
      <c r="C17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79" s="6">
        <f>2023-Tabella2[[#This Row],[foundation_launch_year]]</f>
        <v>86</v>
      </c>
      <c r="E179" s="6" t="s">
        <v>80</v>
      </c>
      <c r="F179" s="6" t="s">
        <v>191</v>
      </c>
      <c r="I179" s="12" t="str">
        <f>IF(Tabella2[[#This Row],[upstream_dr]]+Tabella2[[#This Row],[downstream_dr]]=2, "1", " ")</f>
        <v xml:space="preserve"> </v>
      </c>
      <c r="J179" s="6">
        <v>1</v>
      </c>
      <c r="K179" t="s">
        <v>33</v>
      </c>
      <c r="L179" s="9" t="s">
        <v>398</v>
      </c>
      <c r="M179" s="4">
        <v>0</v>
      </c>
      <c r="N179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0" spans="1:14" ht="14.75" hidden="1" customHeight="1" x14ac:dyDescent="0.35">
      <c r="A180" s="19" t="s">
        <v>399</v>
      </c>
      <c r="B180" s="6">
        <v>1948</v>
      </c>
      <c r="C18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80" s="6">
        <f>2023-Tabella2[[#This Row],[foundation_launch_year]]</f>
        <v>75</v>
      </c>
      <c r="E180" s="6" t="s">
        <v>80</v>
      </c>
      <c r="F180" s="6" t="s">
        <v>191</v>
      </c>
      <c r="I180" s="12" t="str">
        <f>IF(Tabella2[[#This Row],[upstream_dr]]+Tabella2[[#This Row],[downstream_dr]]=2, "1", " ")</f>
        <v xml:space="preserve"> </v>
      </c>
      <c r="J180" s="6">
        <v>1</v>
      </c>
      <c r="K180" t="s">
        <v>41</v>
      </c>
      <c r="L180" s="9" t="s">
        <v>400</v>
      </c>
      <c r="M180" s="4">
        <v>0</v>
      </c>
      <c r="N180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1" spans="1:14" ht="14.75" hidden="1" customHeight="1" x14ac:dyDescent="0.35">
      <c r="A181" s="19" t="s">
        <v>401</v>
      </c>
      <c r="B181" s="6">
        <v>1936</v>
      </c>
      <c r="C18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81" s="6">
        <f>2023-Tabella2[[#This Row],[foundation_launch_year]]</f>
        <v>87</v>
      </c>
      <c r="E181" s="6" t="s">
        <v>80</v>
      </c>
      <c r="F181" s="6" t="s">
        <v>191</v>
      </c>
      <c r="I181" s="12" t="str">
        <f>IF(Tabella2[[#This Row],[upstream_dr]]+Tabella2[[#This Row],[downstream_dr]]=2, "1", " ")</f>
        <v xml:space="preserve"> </v>
      </c>
      <c r="J181" s="6">
        <v>1</v>
      </c>
      <c r="K181" t="s">
        <v>33</v>
      </c>
      <c r="L181" s="9" t="s">
        <v>402</v>
      </c>
      <c r="M181" s="4">
        <v>0</v>
      </c>
      <c r="N181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2" spans="1:14" ht="14.75" hidden="1" customHeight="1" x14ac:dyDescent="0.35">
      <c r="A182" s="19" t="s">
        <v>403</v>
      </c>
      <c r="B182" s="6">
        <v>1921</v>
      </c>
      <c r="C18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82" s="6">
        <f>2023-Tabella2[[#This Row],[foundation_launch_year]]</f>
        <v>102</v>
      </c>
      <c r="E182" s="6" t="s">
        <v>80</v>
      </c>
      <c r="F182" s="6" t="s">
        <v>191</v>
      </c>
      <c r="I182" s="12" t="str">
        <f>IF(Tabella2[[#This Row],[upstream_dr]]+Tabella2[[#This Row],[downstream_dr]]=2, "1", " ")</f>
        <v xml:space="preserve"> </v>
      </c>
      <c r="J182" s="6">
        <v>1</v>
      </c>
      <c r="K182" t="s">
        <v>41</v>
      </c>
      <c r="L182" s="9" t="s">
        <v>404</v>
      </c>
      <c r="M182" s="4">
        <v>0</v>
      </c>
      <c r="N18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3" spans="1:14" ht="14.75" hidden="1" customHeight="1" x14ac:dyDescent="0.35">
      <c r="A183" s="19" t="s">
        <v>405</v>
      </c>
      <c r="B183" s="6">
        <v>2006</v>
      </c>
      <c r="C18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83" s="6">
        <f>2023-Tabella2[[#This Row],[foundation_launch_year]]</f>
        <v>17</v>
      </c>
      <c r="E183" s="6" t="s">
        <v>80</v>
      </c>
      <c r="F183" s="6" t="s">
        <v>191</v>
      </c>
      <c r="I183" s="12" t="str">
        <f>IF(Tabella2[[#This Row],[upstream_dr]]+Tabella2[[#This Row],[downstream_dr]]=2, "1", " ")</f>
        <v xml:space="preserve"> </v>
      </c>
      <c r="J183" s="6">
        <v>1</v>
      </c>
      <c r="K183" t="s">
        <v>37</v>
      </c>
      <c r="L183" s="9" t="s">
        <v>406</v>
      </c>
      <c r="M183" s="4">
        <v>0</v>
      </c>
      <c r="N183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4" spans="1:14" ht="14.75" hidden="1" customHeight="1" x14ac:dyDescent="0.35">
      <c r="A184" s="19" t="s">
        <v>407</v>
      </c>
      <c r="B184" s="6">
        <v>1897</v>
      </c>
      <c r="C18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84" s="6">
        <f>2023-Tabella2[[#This Row],[foundation_launch_year]]</f>
        <v>126</v>
      </c>
      <c r="E184" s="6" t="s">
        <v>80</v>
      </c>
      <c r="F184" s="6" t="s">
        <v>191</v>
      </c>
      <c r="I184" s="12" t="str">
        <f>IF(Tabella2[[#This Row],[upstream_dr]]+Tabella2[[#This Row],[downstream_dr]]=2, "1", " ")</f>
        <v xml:space="preserve"> </v>
      </c>
      <c r="J184" s="6">
        <v>1</v>
      </c>
      <c r="K184" t="s">
        <v>33</v>
      </c>
      <c r="L184" s="9" t="s">
        <v>408</v>
      </c>
      <c r="M184" s="4">
        <v>0</v>
      </c>
      <c r="N184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5" spans="1:14" ht="14.75" hidden="1" customHeight="1" x14ac:dyDescent="0.35">
      <c r="A185" s="19" t="s">
        <v>409</v>
      </c>
      <c r="B185" s="6">
        <v>1932</v>
      </c>
      <c r="C18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85" s="6">
        <f>2023-Tabella2[[#This Row],[foundation_launch_year]]</f>
        <v>91</v>
      </c>
      <c r="E185" s="6" t="s">
        <v>80</v>
      </c>
      <c r="F185" s="6" t="s">
        <v>191</v>
      </c>
      <c r="I185" s="12" t="str">
        <f>IF(Tabella2[[#This Row],[upstream_dr]]+Tabella2[[#This Row],[downstream_dr]]=2, "1", " ")</f>
        <v xml:space="preserve"> </v>
      </c>
      <c r="J185" s="6">
        <v>1</v>
      </c>
      <c r="K185" t="s">
        <v>33</v>
      </c>
      <c r="L185" s="9" t="s">
        <v>410</v>
      </c>
      <c r="M185" s="4">
        <v>0</v>
      </c>
      <c r="N185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6" spans="1:14" ht="14.75" hidden="1" customHeight="1" x14ac:dyDescent="0.35">
      <c r="A186" s="19" t="s">
        <v>411</v>
      </c>
      <c r="B186" s="6">
        <v>1938</v>
      </c>
      <c r="C18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86" s="6">
        <f>2023-Tabella2[[#This Row],[foundation_launch_year]]</f>
        <v>85</v>
      </c>
      <c r="E186" s="6" t="s">
        <v>80</v>
      </c>
      <c r="F186" s="6" t="s">
        <v>191</v>
      </c>
      <c r="I186" s="12" t="str">
        <f>IF(Tabella2[[#This Row],[upstream_dr]]+Tabella2[[#This Row],[downstream_dr]]=2, "1", " ")</f>
        <v xml:space="preserve"> </v>
      </c>
      <c r="J186" s="6">
        <v>1</v>
      </c>
      <c r="K186" t="s">
        <v>41</v>
      </c>
      <c r="L186" s="9" t="s">
        <v>412</v>
      </c>
      <c r="M186" s="4">
        <v>0</v>
      </c>
      <c r="N186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7" spans="1:14" ht="14.75" hidden="1" customHeight="1" x14ac:dyDescent="0.35">
      <c r="A187" s="19" t="s">
        <v>413</v>
      </c>
      <c r="B187" s="6">
        <v>1966</v>
      </c>
      <c r="C18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187" s="6">
        <f>2023-Tabella2[[#This Row],[foundation_launch_year]]</f>
        <v>57</v>
      </c>
      <c r="E187" s="6" t="s">
        <v>80</v>
      </c>
      <c r="F187" s="6" t="s">
        <v>191</v>
      </c>
      <c r="I187" s="12" t="str">
        <f>IF(Tabella2[[#This Row],[upstream_dr]]+Tabella2[[#This Row],[downstream_dr]]=2, "1", " ")</f>
        <v xml:space="preserve"> </v>
      </c>
      <c r="J187" s="6">
        <v>1</v>
      </c>
      <c r="K187" t="s">
        <v>33</v>
      </c>
      <c r="L187" s="9" t="s">
        <v>414</v>
      </c>
      <c r="M187" s="4">
        <v>0</v>
      </c>
      <c r="N187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8" spans="1:14" ht="14.75" hidden="1" customHeight="1" x14ac:dyDescent="0.35">
      <c r="A188" s="19" t="s">
        <v>415</v>
      </c>
      <c r="B188" s="6">
        <v>1935</v>
      </c>
      <c r="C18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88" s="6">
        <f>2023-Tabella2[[#This Row],[foundation_launch_year]]</f>
        <v>88</v>
      </c>
      <c r="E188" s="6" t="s">
        <v>80</v>
      </c>
      <c r="F188" s="6" t="s">
        <v>191</v>
      </c>
      <c r="I188" s="12" t="str">
        <f>IF(Tabella2[[#This Row],[upstream_dr]]+Tabella2[[#This Row],[downstream_dr]]=2, "1", " ")</f>
        <v xml:space="preserve"> </v>
      </c>
      <c r="J188" s="6">
        <v>1</v>
      </c>
      <c r="K188" t="s">
        <v>33</v>
      </c>
      <c r="L188" s="9" t="s">
        <v>416</v>
      </c>
      <c r="M188" s="4">
        <v>0</v>
      </c>
      <c r="N188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89" spans="1:14" hidden="1" x14ac:dyDescent="0.35">
      <c r="A189" s="19" t="s">
        <v>417</v>
      </c>
      <c r="B189" s="6">
        <v>1998</v>
      </c>
      <c r="C18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89" s="6">
        <f>2023-Tabella2[[#This Row],[foundation_launch_year]]</f>
        <v>25</v>
      </c>
      <c r="E189" s="6" t="s">
        <v>80</v>
      </c>
      <c r="F189" s="6" t="s">
        <v>191</v>
      </c>
      <c r="I189" s="12" t="str">
        <f>IF(Tabella2[[#This Row],[upstream_dr]]+Tabella2[[#This Row],[downstream_dr]]=2, "1", " ")</f>
        <v xml:space="preserve"> </v>
      </c>
      <c r="J189" s="6">
        <v>1</v>
      </c>
      <c r="K189" t="s">
        <v>33</v>
      </c>
      <c r="L189" s="9" t="s">
        <v>418</v>
      </c>
      <c r="M189" s="4">
        <v>0</v>
      </c>
      <c r="N189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0" spans="1:14" hidden="1" x14ac:dyDescent="0.35">
      <c r="A190" s="19" t="s">
        <v>419</v>
      </c>
      <c r="B190" s="6">
        <v>1912</v>
      </c>
      <c r="C19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90" s="6">
        <f>2023-Tabella2[[#This Row],[foundation_launch_year]]</f>
        <v>111</v>
      </c>
      <c r="E190" s="6" t="s">
        <v>80</v>
      </c>
      <c r="F190" s="6" t="s">
        <v>191</v>
      </c>
      <c r="I190" s="12" t="str">
        <f>IF(Tabella2[[#This Row],[upstream_dr]]+Tabella2[[#This Row],[downstream_dr]]=2, "1", " ")</f>
        <v xml:space="preserve"> </v>
      </c>
      <c r="J190" s="6">
        <v>1</v>
      </c>
      <c r="K190" t="s">
        <v>33</v>
      </c>
      <c r="L190" s="9" t="s">
        <v>420</v>
      </c>
      <c r="M190" s="4">
        <v>0</v>
      </c>
      <c r="N190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1" spans="1:14" hidden="1" x14ac:dyDescent="0.35">
      <c r="A191" s="19" t="s">
        <v>421</v>
      </c>
      <c r="B191" s="6">
        <v>1947</v>
      </c>
      <c r="C19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91" s="6">
        <f>2023-Tabella2[[#This Row],[foundation_launch_year]]</f>
        <v>76</v>
      </c>
      <c r="E191" s="6" t="s">
        <v>80</v>
      </c>
      <c r="F191" s="6" t="s">
        <v>191</v>
      </c>
      <c r="I191" s="12" t="str">
        <f>IF(Tabella2[[#This Row],[upstream_dr]]+Tabella2[[#This Row],[downstream_dr]]=2, "1", " ")</f>
        <v xml:space="preserve"> </v>
      </c>
      <c r="J191" s="6">
        <v>1</v>
      </c>
      <c r="K191" t="s">
        <v>33</v>
      </c>
      <c r="L191" s="9" t="s">
        <v>422</v>
      </c>
      <c r="M191" s="4">
        <v>0</v>
      </c>
      <c r="N191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2" spans="1:14" hidden="1" x14ac:dyDescent="0.35">
      <c r="A192" s="19" t="s">
        <v>423</v>
      </c>
      <c r="B192" s="6">
        <v>1944</v>
      </c>
      <c r="C19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92" s="6">
        <f>2023-Tabella2[[#This Row],[foundation_launch_year]]</f>
        <v>79</v>
      </c>
      <c r="E192" s="6" t="s">
        <v>80</v>
      </c>
      <c r="F192" s="6" t="s">
        <v>191</v>
      </c>
      <c r="I192" s="12" t="str">
        <f>IF(Tabella2[[#This Row],[upstream_dr]]+Tabella2[[#This Row],[downstream_dr]]=2, "1", " ")</f>
        <v xml:space="preserve"> </v>
      </c>
      <c r="J192" s="6">
        <v>1</v>
      </c>
      <c r="K192" t="s">
        <v>41</v>
      </c>
      <c r="L192" s="9" t="s">
        <v>424</v>
      </c>
      <c r="M192" s="4">
        <v>0</v>
      </c>
      <c r="N19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3" spans="1:14" hidden="1" x14ac:dyDescent="0.35">
      <c r="A193" s="19" t="s">
        <v>425</v>
      </c>
      <c r="B193" s="6">
        <v>1959</v>
      </c>
      <c r="C19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1940-1964</v>
      </c>
      <c r="D193" s="6">
        <f>2023-Tabella2[[#This Row],[foundation_launch_year]]</f>
        <v>64</v>
      </c>
      <c r="E193" s="6" t="s">
        <v>80</v>
      </c>
      <c r="F193" s="6" t="s">
        <v>191</v>
      </c>
      <c r="I193" s="12" t="str">
        <f>IF(Tabella2[[#This Row],[upstream_dr]]+Tabella2[[#This Row],[downstream_dr]]=2, "1", " ")</f>
        <v xml:space="preserve"> </v>
      </c>
      <c r="J193" s="6">
        <v>1</v>
      </c>
      <c r="K193" t="s">
        <v>33</v>
      </c>
      <c r="L193" s="9" t="s">
        <v>426</v>
      </c>
      <c r="M193" s="4">
        <v>0</v>
      </c>
      <c r="N193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4" spans="1:14" hidden="1" x14ac:dyDescent="0.35">
      <c r="A194" s="19" t="s">
        <v>427</v>
      </c>
      <c r="B194" s="6">
        <v>1910</v>
      </c>
      <c r="C19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94" s="6">
        <f>2023-Tabella2[[#This Row],[foundation_launch_year]]</f>
        <v>113</v>
      </c>
      <c r="E194" s="6" t="s">
        <v>80</v>
      </c>
      <c r="F194" s="6" t="s">
        <v>191</v>
      </c>
      <c r="I194" s="12" t="str">
        <f>IF(Tabella2[[#This Row],[upstream_dr]]+Tabella2[[#This Row],[downstream_dr]]=2, "1", " ")</f>
        <v xml:space="preserve"> </v>
      </c>
      <c r="J194" s="6">
        <v>1</v>
      </c>
      <c r="K194" t="s">
        <v>33</v>
      </c>
      <c r="L194" s="9" t="s">
        <v>428</v>
      </c>
      <c r="M194" s="4">
        <v>0</v>
      </c>
      <c r="N194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5" spans="1:14" hidden="1" x14ac:dyDescent="0.35">
      <c r="A195" s="19" t="s">
        <v>429</v>
      </c>
      <c r="B195" s="6">
        <v>2012</v>
      </c>
      <c r="C19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195" s="6">
        <f>2023-Tabella2[[#This Row],[foundation_launch_year]]</f>
        <v>11</v>
      </c>
      <c r="E195" s="6" t="s">
        <v>48</v>
      </c>
      <c r="F195" s="6" t="s">
        <v>236</v>
      </c>
      <c r="H195" s="12">
        <v>1</v>
      </c>
      <c r="I195" s="12" t="str">
        <f>IF(Tabella2[[#This Row],[upstream_dr]]+Tabella2[[#This Row],[downstream_dr]]=2, "1", " ")</f>
        <v xml:space="preserve"> </v>
      </c>
      <c r="J195" s="6">
        <v>1</v>
      </c>
      <c r="K195" t="s">
        <v>362</v>
      </c>
      <c r="L195" s="9" t="s">
        <v>430</v>
      </c>
      <c r="M195" s="4" t="s">
        <v>364</v>
      </c>
      <c r="N195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196" spans="1:14" hidden="1" x14ac:dyDescent="0.35">
      <c r="A196" s="19" t="s">
        <v>431</v>
      </c>
      <c r="B196" s="6"/>
      <c r="C19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96" s="6"/>
      <c r="E196" s="6" t="s">
        <v>48</v>
      </c>
      <c r="F196" s="6" t="s">
        <v>241</v>
      </c>
      <c r="H196" s="12">
        <v>1</v>
      </c>
      <c r="I196" s="12" t="str">
        <f>IF(Tabella2[[#This Row],[upstream_dr]]+Tabella2[[#This Row],[downstream_dr]]=2, "1", " ")</f>
        <v xml:space="preserve"> </v>
      </c>
      <c r="J196" s="6">
        <v>1</v>
      </c>
      <c r="K196" t="s">
        <v>37</v>
      </c>
      <c r="L196" s="9" t="s">
        <v>432</v>
      </c>
      <c r="M196" s="4">
        <v>0</v>
      </c>
      <c r="N196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7" spans="1:14" hidden="1" x14ac:dyDescent="0.35">
      <c r="A197" s="19" t="s">
        <v>433</v>
      </c>
      <c r="B197" s="6">
        <v>1991</v>
      </c>
      <c r="C19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97" s="6">
        <f>2023-Tabella2[[#This Row],[foundation_launch_year]]</f>
        <v>32</v>
      </c>
      <c r="E197" s="6" t="s">
        <v>48</v>
      </c>
      <c r="F197" s="6" t="s">
        <v>241</v>
      </c>
      <c r="H197" s="12">
        <v>1</v>
      </c>
      <c r="I197" s="12" t="str">
        <f>IF(Tabella2[[#This Row],[upstream_dr]]+Tabella2[[#This Row],[downstream_dr]]=2, "1", " ")</f>
        <v xml:space="preserve"> </v>
      </c>
      <c r="J197" s="6">
        <v>1</v>
      </c>
      <c r="K197" t="s">
        <v>33</v>
      </c>
      <c r="L197" s="9" t="s">
        <v>434</v>
      </c>
      <c r="M197" s="4">
        <v>0</v>
      </c>
      <c r="N197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8" spans="1:14" hidden="1" x14ac:dyDescent="0.35">
      <c r="A198" s="19" t="s">
        <v>435</v>
      </c>
      <c r="B198" s="6">
        <v>1995</v>
      </c>
      <c r="C198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198" s="6">
        <f>2023-Tabella2[[#This Row],[foundation_launch_year]]</f>
        <v>28</v>
      </c>
      <c r="E198" s="6" t="s">
        <v>48</v>
      </c>
      <c r="F198" s="6" t="s">
        <v>241</v>
      </c>
      <c r="G198" s="12">
        <v>1</v>
      </c>
      <c r="I198" s="12" t="str">
        <f>IF(Tabella2[[#This Row],[upstream_dr]]+Tabella2[[#This Row],[downstream_dr]]=2, "1", " ")</f>
        <v xml:space="preserve"> </v>
      </c>
      <c r="J198" s="6">
        <v>1</v>
      </c>
      <c r="K198" t="s">
        <v>37</v>
      </c>
      <c r="L198" s="9" t="s">
        <v>436</v>
      </c>
      <c r="M198" s="4">
        <v>0</v>
      </c>
      <c r="N198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199" spans="1:14" hidden="1" x14ac:dyDescent="0.35">
      <c r="A199" s="10" t="s">
        <v>437</v>
      </c>
      <c r="B199" s="6"/>
      <c r="C199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199" s="6"/>
      <c r="E199" s="6" t="s">
        <v>48</v>
      </c>
      <c r="F199" s="6" t="s">
        <v>241</v>
      </c>
      <c r="I199" s="12" t="str">
        <f>IF(Tabella2[[#This Row],[upstream_dr]]+Tabella2[[#This Row],[downstream_dr]]=2, "1", " ")</f>
        <v xml:space="preserve"> </v>
      </c>
      <c r="J199" s="6">
        <v>1</v>
      </c>
      <c r="K199" t="s">
        <v>41</v>
      </c>
      <c r="L199" s="9" t="s">
        <v>438</v>
      </c>
      <c r="M199" s="4">
        <v>0</v>
      </c>
      <c r="N199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00" spans="1:14" hidden="1" x14ac:dyDescent="0.35">
      <c r="A200" s="19" t="s">
        <v>439</v>
      </c>
      <c r="B200" s="6">
        <v>2014</v>
      </c>
      <c r="C200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200" s="6">
        <f>2023-Tabella2[[#This Row],[foundation_launch_year]]</f>
        <v>9</v>
      </c>
      <c r="E200" s="6" t="s">
        <v>130</v>
      </c>
      <c r="F200" s="6" t="s">
        <v>277</v>
      </c>
      <c r="I200" s="12" t="str">
        <f>IF(Tabella2[[#This Row],[upstream_dr]]+Tabella2[[#This Row],[downstream_dr]]=2, "1", " ")</f>
        <v xml:space="preserve"> </v>
      </c>
      <c r="J200" s="6">
        <v>1</v>
      </c>
      <c r="K200" t="s">
        <v>362</v>
      </c>
      <c r="L200" s="9" t="s">
        <v>440</v>
      </c>
      <c r="M200" s="4" t="s">
        <v>364</v>
      </c>
      <c r="N200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201" spans="1:14" ht="14.75" hidden="1" customHeight="1" x14ac:dyDescent="0.35">
      <c r="A201" s="10" t="s">
        <v>441</v>
      </c>
      <c r="B201" s="6">
        <v>2010</v>
      </c>
      <c r="C201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2001-2014</v>
      </c>
      <c r="D201" s="6">
        <f>2023-Tabella2[[#This Row],[foundation_launch_year]]</f>
        <v>13</v>
      </c>
      <c r="E201" s="6" t="s">
        <v>130</v>
      </c>
      <c r="F201" s="6" t="s">
        <v>277</v>
      </c>
      <c r="I201" s="12" t="str">
        <f>IF(Tabella2[[#This Row],[upstream_dr]]+Tabella2[[#This Row],[downstream_dr]]=2, "1", " ")</f>
        <v xml:space="preserve"> </v>
      </c>
      <c r="J201" s="6">
        <v>1</v>
      </c>
      <c r="K201" t="s">
        <v>37</v>
      </c>
      <c r="L201" s="9" t="s">
        <v>442</v>
      </c>
      <c r="M201" s="4">
        <v>0</v>
      </c>
      <c r="N201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02" spans="1:14" hidden="1" x14ac:dyDescent="0.35">
      <c r="A202" s="19" t="s">
        <v>443</v>
      </c>
      <c r="B202" s="6">
        <v>1992</v>
      </c>
      <c r="C202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1990-2000</v>
      </c>
      <c r="D202" s="6">
        <f>2023-Tabella2[[#This Row],[foundation_launch_year]]</f>
        <v>31</v>
      </c>
      <c r="E202" s="6" t="s">
        <v>130</v>
      </c>
      <c r="F202" s="6" t="s">
        <v>277</v>
      </c>
      <c r="I202" s="12" t="str">
        <f>IF(Tabella2[[#This Row],[upstream_dr]]+Tabella2[[#This Row],[downstream_dr]]=2, "1", " ")</f>
        <v xml:space="preserve"> </v>
      </c>
      <c r="J202" s="6">
        <v>1</v>
      </c>
      <c r="K202" t="s">
        <v>37</v>
      </c>
      <c r="L202" s="9" t="s">
        <v>444</v>
      </c>
      <c r="M202" s="4">
        <v>0</v>
      </c>
      <c r="N202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03" spans="1:14" hidden="1" x14ac:dyDescent="0.35">
      <c r="A203" s="19" t="s">
        <v>445</v>
      </c>
      <c r="B203" s="6">
        <v>1814</v>
      </c>
      <c r="C203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203" s="6">
        <f>2023-Tabella2[[#This Row],[foundation_launch_year]]</f>
        <v>209</v>
      </c>
      <c r="E203" s="6" t="s">
        <v>130</v>
      </c>
      <c r="F203" s="6" t="s">
        <v>277</v>
      </c>
      <c r="I203" s="12" t="str">
        <f>IF(Tabella2[[#This Row],[upstream_dr]]+Tabella2[[#This Row],[downstream_dr]]=2, "1", " ")</f>
        <v xml:space="preserve"> </v>
      </c>
      <c r="J203" s="6">
        <v>1</v>
      </c>
      <c r="K203" t="s">
        <v>41</v>
      </c>
      <c r="L203" s="9" t="s">
        <v>446</v>
      </c>
      <c r="M203" s="4">
        <v>0</v>
      </c>
      <c r="N203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04" spans="1:14" hidden="1" x14ac:dyDescent="0.35">
      <c r="A204" s="19" t="s">
        <v>447</v>
      </c>
      <c r="B204" s="6">
        <v>1984</v>
      </c>
      <c r="C204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1965-1989</v>
      </c>
      <c r="D204" s="6">
        <f>2023-Tabella2[[#This Row],[foundation_launch_year]]</f>
        <v>39</v>
      </c>
      <c r="E204" s="6" t="s">
        <v>130</v>
      </c>
      <c r="F204" s="6" t="s">
        <v>311</v>
      </c>
      <c r="I204" s="12" t="str">
        <f>IF(Tabella2[[#This Row],[upstream_dr]]+Tabella2[[#This Row],[downstream_dr]]=2, "1", " ")</f>
        <v xml:space="preserve"> </v>
      </c>
      <c r="J204" s="6">
        <v>1</v>
      </c>
      <c r="K204" t="s">
        <v>362</v>
      </c>
      <c r="L204" s="9" t="s">
        <v>448</v>
      </c>
      <c r="M204" s="4" t="s">
        <v>364</v>
      </c>
      <c r="N204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300+</v>
      </c>
    </row>
    <row r="205" spans="1:14" ht="14.75" hidden="1" customHeight="1" x14ac:dyDescent="0.35">
      <c r="A205" s="10" t="s">
        <v>449</v>
      </c>
      <c r="B205" s="6"/>
      <c r="C205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205" s="6"/>
      <c r="E205" s="6" t="s">
        <v>130</v>
      </c>
      <c r="F205" s="6" t="s">
        <v>311</v>
      </c>
      <c r="I205" s="12" t="str">
        <f>IF(Tabella2[[#This Row],[upstream_dr]]+Tabella2[[#This Row],[downstream_dr]]=2, "1", " ")</f>
        <v xml:space="preserve"> </v>
      </c>
      <c r="J205" s="6">
        <v>1</v>
      </c>
      <c r="K205" t="s">
        <v>41</v>
      </c>
      <c r="L205" s="9" t="s">
        <v>450</v>
      </c>
      <c r="M205" s="4">
        <v>0</v>
      </c>
      <c r="N205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06" spans="1:14" ht="14.75" hidden="1" customHeight="1" x14ac:dyDescent="0.35">
      <c r="A206" s="10" t="s">
        <v>451</v>
      </c>
      <c r="B206" s="6"/>
      <c r="C206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206" s="6"/>
      <c r="E206" s="6" t="s">
        <v>130</v>
      </c>
      <c r="F206" s="6" t="s">
        <v>311</v>
      </c>
      <c r="I206" s="12" t="str">
        <f>IF(Tabella2[[#This Row],[upstream_dr]]+Tabella2[[#This Row],[downstream_dr]]=2, "1", " ")</f>
        <v xml:space="preserve"> </v>
      </c>
      <c r="J206" s="6">
        <v>1</v>
      </c>
      <c r="K206" t="s">
        <v>33</v>
      </c>
      <c r="L206" s="9" t="s">
        <v>452</v>
      </c>
      <c r="M206" s="4">
        <v>0</v>
      </c>
      <c r="N206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  <row r="207" spans="1:14" ht="14.75" hidden="1" customHeight="1" x14ac:dyDescent="0.35">
      <c r="A207" s="10" t="s">
        <v>453</v>
      </c>
      <c r="B207" s="6"/>
      <c r="C207" s="6" t="str">
        <f>IF(Tabella2[[#This Row],[foundation_launch_year]]&gt;2014, "2015-2022",IF(Tabella2[[#This Row],[foundation_launch_year]]&gt;2000, "2001-2014",IF(Tabella2[[#This Row],[foundation_launch_year]]&gt;1989,"1990-2000",IF(Tabella2[[#This Row],[foundation_launch_year]]&gt;1964,"1965-1989", IF(Tabella2[[#This Row],[foundation_launch_year]]&gt;1939,"1940-1964","1800-1939")))))</f>
        <v>1800-1939</v>
      </c>
      <c r="D207" s="6"/>
      <c r="E207" s="6" t="s">
        <v>130</v>
      </c>
      <c r="F207" s="6" t="s">
        <v>311</v>
      </c>
      <c r="I207" s="12" t="str">
        <f>IF(Tabella2[[#This Row],[upstream_dr]]+Tabella2[[#This Row],[downstream_dr]]=2, "1", " ")</f>
        <v xml:space="preserve"> </v>
      </c>
      <c r="J207" s="6">
        <v>1</v>
      </c>
      <c r="K207" t="s">
        <v>33</v>
      </c>
      <c r="L207" s="9" t="s">
        <v>454</v>
      </c>
      <c r="M207" s="4">
        <v>0</v>
      </c>
      <c r="N207" t="str">
        <f>IF(Tabella2[[#This Row],[derw_pat]]&lt;6, "1-5",  IF(Tabella2[[#This Row],[derw_pat]]&lt;26,"6-25", IF(Tabella2[[#This Row],[derw_pat]]&lt;51, "26-50", IF(Tabella2[[#This Row],[derw_pat]]&lt;101, "51-100", IF(Tabella2[[#This Row],[derw_pat]]&lt;301, "100-300","300+")))))</f>
        <v>1-5</v>
      </c>
    </row>
  </sheetData>
  <dataValidations count="1">
    <dataValidation type="list" allowBlank="1" showInputMessage="1" showErrorMessage="1" sqref="K88:K90 K69:K74 K76:K86">
      <formula1>$B$2:$B$5</formula1>
    </dataValidation>
  </dataValidations>
  <pageMargins left="0.7" right="0.7" top="0.75" bottom="0.75" header="0.3" footer="0.3"/>
  <pageSetup orientation="portrait" r:id="rId1"/>
  <headerFooter>
    <oddFooter>&amp;C&amp;1#&amp;"Calibri"&amp;10&amp;K000000Company Internal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zoomScale="80" zoomScaleNormal="100" workbookViewId="0"/>
  </sheetViews>
  <sheetFormatPr defaultRowHeight="14.5" x14ac:dyDescent="0.35"/>
  <cols>
    <col min="1" max="1" width="18.453125" style="35" bestFit="1" customWidth="1"/>
    <col min="2" max="2" width="13.1796875" style="59" customWidth="1"/>
    <col min="3" max="3" width="9.1796875" style="103" customWidth="1"/>
    <col min="4" max="4" width="8.81640625" style="104" customWidth="1"/>
    <col min="5" max="5" width="8.81640625" style="105" customWidth="1"/>
    <col min="6" max="6" width="11.81640625" style="81" customWidth="1"/>
    <col min="7" max="7" width="8.81640625" style="103" customWidth="1"/>
    <col min="8" max="8" width="8.81640625" style="104" customWidth="1"/>
    <col min="9" max="11" width="8.81640625" style="6" customWidth="1"/>
    <col min="12" max="12" width="8.81640625" style="109" customWidth="1"/>
    <col min="13" max="13" width="16.81640625" style="109" customWidth="1"/>
    <col min="14" max="14" width="8.1796875" style="104" customWidth="1"/>
    <col min="15" max="15" width="7" style="104" customWidth="1"/>
    <col min="16" max="16" width="8.81640625" style="103" customWidth="1"/>
    <col min="17" max="18" width="8.81640625" style="6" customWidth="1"/>
    <col min="19" max="20" width="8.81640625" style="104" customWidth="1"/>
    <col min="21" max="21" width="8.81640625" style="105" customWidth="1"/>
    <col min="22" max="22" width="8.453125" style="6" customWidth="1"/>
    <col min="23" max="23" width="9.90625" style="72" customWidth="1"/>
    <col min="24" max="24" width="11.54296875" style="109" bestFit="1" customWidth="1"/>
  </cols>
  <sheetData>
    <row r="1" spans="1:24" s="17" customFormat="1" x14ac:dyDescent="0.35">
      <c r="A1" s="141"/>
      <c r="C1" s="61"/>
      <c r="D1" s="86"/>
      <c r="E1" s="86"/>
      <c r="F1" s="76"/>
      <c r="G1" s="61"/>
      <c r="H1" s="86"/>
      <c r="I1" s="61"/>
      <c r="J1" s="61"/>
      <c r="K1" s="61"/>
      <c r="L1" s="61"/>
      <c r="M1" s="61"/>
      <c r="N1" s="61"/>
      <c r="O1" s="86"/>
      <c r="P1" s="61"/>
      <c r="Q1" s="61"/>
      <c r="R1" s="61"/>
      <c r="S1" s="86"/>
      <c r="T1" s="86"/>
      <c r="U1" s="86"/>
      <c r="V1" s="61"/>
      <c r="W1" s="86"/>
    </row>
    <row r="2" spans="1:24" x14ac:dyDescent="0.35">
      <c r="A2" s="141"/>
      <c r="B2" s="17"/>
      <c r="C2" s="206" t="s">
        <v>455</v>
      </c>
      <c r="D2" s="206"/>
      <c r="E2" s="207"/>
      <c r="F2" s="175" t="s">
        <v>528</v>
      </c>
      <c r="G2" s="211" t="s">
        <v>532</v>
      </c>
      <c r="H2" s="212"/>
      <c r="I2" s="212"/>
      <c r="J2" s="212"/>
      <c r="K2" s="212"/>
      <c r="L2" s="212"/>
      <c r="M2" s="212"/>
      <c r="N2" s="212"/>
      <c r="O2" s="213"/>
      <c r="P2" s="208" t="s">
        <v>456</v>
      </c>
      <c r="Q2" s="209"/>
      <c r="R2" s="209"/>
      <c r="S2" s="209"/>
      <c r="T2" s="209"/>
      <c r="U2" s="210"/>
      <c r="V2" s="214" t="s">
        <v>529</v>
      </c>
      <c r="W2" s="215"/>
      <c r="X2" s="216"/>
    </row>
    <row r="3" spans="1:24" s="186" customFormat="1" x14ac:dyDescent="0.35">
      <c r="A3" s="141"/>
      <c r="B3" s="141"/>
      <c r="C3" s="176" t="s">
        <v>457</v>
      </c>
      <c r="D3" s="177" t="s">
        <v>458</v>
      </c>
      <c r="E3" s="178" t="s">
        <v>459</v>
      </c>
      <c r="F3" s="179" t="s">
        <v>473</v>
      </c>
      <c r="G3" s="160" t="s">
        <v>460</v>
      </c>
      <c r="H3" s="180" t="s">
        <v>461</v>
      </c>
      <c r="I3" s="181" t="s">
        <v>462</v>
      </c>
      <c r="J3" s="181" t="s">
        <v>37</v>
      </c>
      <c r="K3" s="181" t="s">
        <v>463</v>
      </c>
      <c r="L3" s="161" t="s">
        <v>464</v>
      </c>
      <c r="M3" s="181" t="s">
        <v>465</v>
      </c>
      <c r="N3" s="180" t="s">
        <v>466</v>
      </c>
      <c r="O3" s="180" t="s">
        <v>459</v>
      </c>
      <c r="P3" s="159" t="s">
        <v>467</v>
      </c>
      <c r="Q3" s="182" t="s">
        <v>468</v>
      </c>
      <c r="R3" s="182" t="s">
        <v>469</v>
      </c>
      <c r="S3" s="183" t="s">
        <v>470</v>
      </c>
      <c r="T3" s="183" t="s">
        <v>471</v>
      </c>
      <c r="U3" s="184" t="s">
        <v>472</v>
      </c>
      <c r="V3" s="173" t="s">
        <v>474</v>
      </c>
      <c r="W3" s="185" t="s">
        <v>475</v>
      </c>
      <c r="X3" s="174" t="s">
        <v>530</v>
      </c>
    </row>
    <row r="4" spans="1:24" s="196" customFormat="1" ht="15" thickBot="1" x14ac:dyDescent="0.4">
      <c r="A4" s="187" t="s">
        <v>476</v>
      </c>
      <c r="B4" s="188"/>
      <c r="C4" s="189">
        <f>SUM(C5:C8)</f>
        <v>68</v>
      </c>
      <c r="D4" s="190">
        <f>SUM(D5:D8)</f>
        <v>0.33009708737864074</v>
      </c>
      <c r="E4" s="191">
        <f>SUM(E5:E8)</f>
        <v>1</v>
      </c>
      <c r="F4" s="192">
        <f>AVERAGEIF(firms!E2:E160,"SCAN",firms!D2:D163)</f>
        <v>19.807017543859651</v>
      </c>
      <c r="G4" s="189">
        <f>SUM(G5:G8)</f>
        <v>11</v>
      </c>
      <c r="H4" s="190">
        <f>G4/C4</f>
        <v>0.16176470588235295</v>
      </c>
      <c r="I4" s="193">
        <f>SUM(I5:I8)</f>
        <v>4</v>
      </c>
      <c r="J4" s="193">
        <f>SUM(J5:J8)</f>
        <v>3</v>
      </c>
      <c r="K4" s="193">
        <f>SUM(K5:K8)</f>
        <v>2</v>
      </c>
      <c r="L4" s="194">
        <f>SUM(L5:L8)</f>
        <v>2</v>
      </c>
      <c r="M4" s="193">
        <f>C4-G4</f>
        <v>57</v>
      </c>
      <c r="N4" s="190">
        <f>SUM(N5:N8)</f>
        <v>0.35849056603773588</v>
      </c>
      <c r="O4" s="190">
        <f>SUM(O5:O8)</f>
        <v>1</v>
      </c>
      <c r="P4" s="189">
        <f>SUM(P5:P8)</f>
        <v>25</v>
      </c>
      <c r="Q4" s="193">
        <f>SUM(Q5:Q8)</f>
        <v>28</v>
      </c>
      <c r="R4" s="193">
        <f>SUM(R5:R8)</f>
        <v>4</v>
      </c>
      <c r="S4" s="190">
        <f>P4/$M$4</f>
        <v>0.43859649122807015</v>
      </c>
      <c r="T4" s="190">
        <f>Q4/$M$4</f>
        <v>0.49122807017543857</v>
      </c>
      <c r="U4" s="191">
        <f>R4/$M$4</f>
        <v>7.0175438596491224E-2</v>
      </c>
      <c r="V4" s="193">
        <f>SUM(V5:V8)</f>
        <v>1994</v>
      </c>
      <c r="W4" s="190">
        <f>V4/V29</f>
        <v>0.23472630959387875</v>
      </c>
      <c r="X4" s="195">
        <f>V4/M4</f>
        <v>34.982456140350877</v>
      </c>
    </row>
    <row r="5" spans="1:24" s="26" customFormat="1" x14ac:dyDescent="0.35">
      <c r="A5" s="36"/>
      <c r="B5" s="48" t="s">
        <v>531</v>
      </c>
      <c r="C5" s="82">
        <f>COUNTIF(Tabella2[COUNTRY_founded_or_current],  "Sweden")</f>
        <v>28</v>
      </c>
      <c r="D5" s="83">
        <f>C5/206</f>
        <v>0.13592233009708737</v>
      </c>
      <c r="E5" s="84">
        <f>C5/$C$4</f>
        <v>0.41176470588235292</v>
      </c>
      <c r="F5" s="74">
        <f>AVERAGEIF(firms!F2:F160,"Sweden",firms!D2:D160)</f>
        <v>14.083333333333334</v>
      </c>
      <c r="G5" s="82">
        <f>COUNTIF(firms!F161:F207,  "Norway")</f>
        <v>4</v>
      </c>
      <c r="H5" s="83">
        <f>G5/C5</f>
        <v>0.14285714285714285</v>
      </c>
      <c r="I5" s="60">
        <v>2</v>
      </c>
      <c r="J5" s="60">
        <v>0</v>
      </c>
      <c r="K5" s="60">
        <v>1</v>
      </c>
      <c r="L5" s="149">
        <v>1</v>
      </c>
      <c r="M5" s="142">
        <f>C5-G5</f>
        <v>24</v>
      </c>
      <c r="N5" s="83">
        <f>M5/159</f>
        <v>0.15094339622641509</v>
      </c>
      <c r="O5" s="83">
        <f>M5/$M$4</f>
        <v>0.42105263157894735</v>
      </c>
      <c r="P5" s="82">
        <v>12</v>
      </c>
      <c r="Q5" s="60">
        <v>12</v>
      </c>
      <c r="R5" s="60">
        <v>0</v>
      </c>
      <c r="S5" s="83">
        <f>P5/M5</f>
        <v>0.5</v>
      </c>
      <c r="T5" s="83">
        <f>Q5/M5</f>
        <v>0.5</v>
      </c>
      <c r="U5" s="84">
        <f>R5/M5</f>
        <v>0</v>
      </c>
      <c r="V5" s="60">
        <f>SUMIF(firms!F2:F160,"Sweden",firms!M2:M160)</f>
        <v>591</v>
      </c>
      <c r="W5" s="66">
        <f>V5/$V$4</f>
        <v>0.29638916750250754</v>
      </c>
      <c r="X5" s="162">
        <f>V5/M5</f>
        <v>24.625</v>
      </c>
    </row>
    <row r="6" spans="1:24" s="26" customFormat="1" x14ac:dyDescent="0.35">
      <c r="A6" s="36"/>
      <c r="B6" s="48" t="s">
        <v>477</v>
      </c>
      <c r="C6" s="82">
        <f>COUNTIF(Tabella2[COUNTRY_founded_or_current],  "Norway")</f>
        <v>14</v>
      </c>
      <c r="D6" s="83">
        <f>C6/206</f>
        <v>6.7961165048543687E-2</v>
      </c>
      <c r="E6" s="84">
        <f>C6/$C$4</f>
        <v>0.20588235294117646</v>
      </c>
      <c r="F6" s="74">
        <f>AVERAGEIF(firms!F3:F161,"Norway",firms!D3:D161)</f>
        <v>38.6</v>
      </c>
      <c r="G6" s="82">
        <f>COUNTIF(firms!F161:F207,  "Norway")</f>
        <v>4</v>
      </c>
      <c r="H6" s="83">
        <f>G6/C6</f>
        <v>0.2857142857142857</v>
      </c>
      <c r="I6" s="60">
        <v>0</v>
      </c>
      <c r="J6" s="60">
        <v>2</v>
      </c>
      <c r="K6" s="60">
        <v>1</v>
      </c>
      <c r="L6" s="149">
        <v>1</v>
      </c>
      <c r="M6" s="142">
        <f>C6-G6</f>
        <v>10</v>
      </c>
      <c r="N6" s="83">
        <f t="shared" ref="N6:N8" si="0">M6/159</f>
        <v>6.2893081761006289E-2</v>
      </c>
      <c r="O6" s="83">
        <f t="shared" ref="O6:O8" si="1">M6/$M$4</f>
        <v>0.17543859649122806</v>
      </c>
      <c r="P6" s="82">
        <v>5</v>
      </c>
      <c r="Q6" s="60">
        <v>4</v>
      </c>
      <c r="R6" s="60">
        <v>1</v>
      </c>
      <c r="S6" s="83">
        <f>P6/M6</f>
        <v>0.5</v>
      </c>
      <c r="T6" s="83">
        <f>Q6/M6</f>
        <v>0.4</v>
      </c>
      <c r="U6" s="84">
        <f>R6/M6</f>
        <v>0.1</v>
      </c>
      <c r="V6" s="60">
        <f>SUMIF(firms!F2:F160,"Norway",firms!M2:M160)</f>
        <v>417</v>
      </c>
      <c r="W6" s="66">
        <f>V6/$V$4</f>
        <v>0.20912738214643931</v>
      </c>
      <c r="X6" s="162">
        <f>V6/M6</f>
        <v>41.7</v>
      </c>
    </row>
    <row r="7" spans="1:24" s="26" customFormat="1" x14ac:dyDescent="0.35">
      <c r="A7" s="36"/>
      <c r="B7" s="48" t="s">
        <v>478</v>
      </c>
      <c r="C7" s="82">
        <f>COUNTIF(Tabella2[COUNTRY_founded_or_current],  "Finland")</f>
        <v>22</v>
      </c>
      <c r="D7" s="83">
        <f>C7/206</f>
        <v>0.10679611650485436</v>
      </c>
      <c r="E7" s="84">
        <f>C7/$C$4</f>
        <v>0.3235294117647059</v>
      </c>
      <c r="F7" s="74">
        <f>AVERAGEIF(firms!F4:F162,"Finland",firms!D4:D162)</f>
        <v>19.315789473684209</v>
      </c>
      <c r="G7" s="82">
        <f>COUNTIF(firms!F161:F207,  "Finland")</f>
        <v>3</v>
      </c>
      <c r="H7" s="83">
        <f>G7/C7</f>
        <v>0.13636363636363635</v>
      </c>
      <c r="I7" s="60">
        <v>2</v>
      </c>
      <c r="J7" s="60">
        <v>1</v>
      </c>
      <c r="K7" s="60">
        <v>0</v>
      </c>
      <c r="L7" s="149">
        <v>0</v>
      </c>
      <c r="M7" s="142">
        <f>C7-G7</f>
        <v>19</v>
      </c>
      <c r="N7" s="83">
        <f t="shared" si="0"/>
        <v>0.11949685534591195</v>
      </c>
      <c r="O7" s="83">
        <f t="shared" si="1"/>
        <v>0.33333333333333331</v>
      </c>
      <c r="P7" s="82">
        <v>7</v>
      </c>
      <c r="Q7" s="60">
        <v>10</v>
      </c>
      <c r="R7" s="60">
        <v>2</v>
      </c>
      <c r="S7" s="83">
        <f>P7/M7</f>
        <v>0.36842105263157893</v>
      </c>
      <c r="T7" s="83">
        <f>Q7/M7</f>
        <v>0.52631578947368418</v>
      </c>
      <c r="U7" s="84">
        <f>R7/M7</f>
        <v>0.10526315789473684</v>
      </c>
      <c r="V7" s="60">
        <f>SUMIF(firms!F2:F160,"Finland",firms!M2:M160)</f>
        <v>943</v>
      </c>
      <c r="W7" s="66">
        <f>V7/$V$4</f>
        <v>0.47291875626880642</v>
      </c>
      <c r="X7" s="162">
        <f>V7/M7</f>
        <v>49.631578947368418</v>
      </c>
    </row>
    <row r="8" spans="1:24" s="26" customFormat="1" x14ac:dyDescent="0.35">
      <c r="A8" s="36"/>
      <c r="B8" s="48" t="s">
        <v>479</v>
      </c>
      <c r="C8" s="82">
        <f>COUNTIF(Tabella2[COUNTRY_founded_or_current],  "Denmark")</f>
        <v>4</v>
      </c>
      <c r="D8" s="83">
        <f>C8/206</f>
        <v>1.9417475728155338E-2</v>
      </c>
      <c r="E8" s="84">
        <f>C8/$C$4</f>
        <v>5.8823529411764705E-2</v>
      </c>
      <c r="F8" s="74">
        <f>AVERAGEIF(firms!F5:F163,"Denmark",firms!D5:D163)</f>
        <v>9.5</v>
      </c>
      <c r="G8" s="82">
        <f>COUNTIF(firms!F161:F207,  "Denmark")</f>
        <v>0</v>
      </c>
      <c r="H8" s="83">
        <f>G8/C8</f>
        <v>0</v>
      </c>
      <c r="I8" s="60">
        <v>0</v>
      </c>
      <c r="J8" s="60">
        <v>0</v>
      </c>
      <c r="K8" s="60">
        <v>0</v>
      </c>
      <c r="L8" s="149">
        <v>0</v>
      </c>
      <c r="M8" s="142">
        <f>C8-G8</f>
        <v>4</v>
      </c>
      <c r="N8" s="83">
        <f t="shared" si="0"/>
        <v>2.5157232704402517E-2</v>
      </c>
      <c r="O8" s="83">
        <f t="shared" si="1"/>
        <v>7.0175438596491224E-2</v>
      </c>
      <c r="P8" s="82">
        <v>1</v>
      </c>
      <c r="Q8" s="60">
        <v>2</v>
      </c>
      <c r="R8" s="60">
        <v>1</v>
      </c>
      <c r="S8" s="83">
        <f>P8/M8</f>
        <v>0.25</v>
      </c>
      <c r="T8" s="83">
        <f>Q8/M8</f>
        <v>0.5</v>
      </c>
      <c r="U8" s="84">
        <f>R8/M8</f>
        <v>0.25</v>
      </c>
      <c r="V8" s="60">
        <f>SUMIF(firms!F2:F160,"Denmark",firms!M2:M160)</f>
        <v>43</v>
      </c>
      <c r="W8" s="66">
        <f>V8/$V$4</f>
        <v>2.156469408224674E-2</v>
      </c>
      <c r="X8" s="162">
        <f>V8/M8</f>
        <v>10.75</v>
      </c>
    </row>
    <row r="9" spans="1:24" s="17" customFormat="1" x14ac:dyDescent="0.35">
      <c r="A9" s="37"/>
      <c r="B9" s="49"/>
      <c r="C9" s="85"/>
      <c r="D9" s="86"/>
      <c r="E9" s="87"/>
      <c r="F9" s="76"/>
      <c r="G9" s="85"/>
      <c r="H9" s="86"/>
      <c r="I9" s="61"/>
      <c r="J9" s="61"/>
      <c r="K9" s="61"/>
      <c r="L9" s="148"/>
      <c r="M9" s="143"/>
      <c r="N9" s="86"/>
      <c r="O9" s="86"/>
      <c r="P9" s="85"/>
      <c r="Q9" s="61"/>
      <c r="R9" s="61"/>
      <c r="S9" s="86"/>
      <c r="T9" s="86"/>
      <c r="U9" s="87"/>
      <c r="V9" s="61"/>
      <c r="W9" s="67"/>
      <c r="X9" s="148"/>
    </row>
    <row r="10" spans="1:24" s="30" customFormat="1" ht="15" thickBot="1" x14ac:dyDescent="0.4">
      <c r="A10" s="38" t="s">
        <v>480</v>
      </c>
      <c r="B10" s="50"/>
      <c r="C10" s="125">
        <f>SUM(C11:C14)</f>
        <v>42</v>
      </c>
      <c r="D10" s="126">
        <f>SUM(D11:D14)</f>
        <v>0.20388349514563103</v>
      </c>
      <c r="E10" s="127">
        <f>SUM(E11:E14)</f>
        <v>0.99999999999999989</v>
      </c>
      <c r="F10" s="129">
        <f>AVERAGEIF(firms!E2:E160,"FRUG",firms!D2:D163)</f>
        <v>18.333333333333332</v>
      </c>
      <c r="G10" s="125">
        <f>SUM(G11:G14)</f>
        <v>6</v>
      </c>
      <c r="H10" s="126">
        <f>G10/C10</f>
        <v>0.14285714285714285</v>
      </c>
      <c r="I10" s="128">
        <f>SUM(I11:I14)</f>
        <v>2</v>
      </c>
      <c r="J10" s="128">
        <f>SUM(J11:J14)</f>
        <v>2</v>
      </c>
      <c r="K10" s="128">
        <f>SUM(K11:K14)</f>
        <v>1</v>
      </c>
      <c r="L10" s="150">
        <f>SUM(L11:L14)</f>
        <v>1</v>
      </c>
      <c r="M10" s="128">
        <f>C10-G10</f>
        <v>36</v>
      </c>
      <c r="N10" s="126">
        <f>SUM(N11:N14)</f>
        <v>0.22641509433962265</v>
      </c>
      <c r="O10" s="126">
        <f>SUM(O11:O14)</f>
        <v>1</v>
      </c>
      <c r="P10" s="125">
        <f>SUM(P11:P14)</f>
        <v>12</v>
      </c>
      <c r="Q10" s="128">
        <f>SUM(Q11:Q14)</f>
        <v>23</v>
      </c>
      <c r="R10" s="128">
        <f>SUM(R11:R14)</f>
        <v>1</v>
      </c>
      <c r="S10" s="126">
        <f>P10/$M$10</f>
        <v>0.33333333333333331</v>
      </c>
      <c r="T10" s="126">
        <f>Q10/$M$10</f>
        <v>0.63888888888888884</v>
      </c>
      <c r="U10" s="127">
        <f>R10/$M$10</f>
        <v>2.7777777777777776E-2</v>
      </c>
      <c r="V10" s="128">
        <f>SUM(V11:V14)</f>
        <v>1705</v>
      </c>
      <c r="W10" s="126">
        <f>V10/V29</f>
        <v>0.20070629782224839</v>
      </c>
      <c r="X10" s="163">
        <f>V10/M10</f>
        <v>47.361111111111114</v>
      </c>
    </row>
    <row r="11" spans="1:24" s="25" customFormat="1" x14ac:dyDescent="0.35">
      <c r="A11" s="39"/>
      <c r="B11" s="51" t="s">
        <v>481</v>
      </c>
      <c r="C11" s="88">
        <f>COUNTIF(Tabella2[COUNTRY_founded_or_current],  "Netherlands")</f>
        <v>20</v>
      </c>
      <c r="D11" s="89">
        <f>C11/206</f>
        <v>9.7087378640776698E-2</v>
      </c>
      <c r="E11" s="90">
        <f>C11/$C$10</f>
        <v>0.47619047619047616</v>
      </c>
      <c r="F11" s="75">
        <f>AVERAGEIF(firms!F5:F163,"Netherlands",firms!D5:D163)</f>
        <v>23.75</v>
      </c>
      <c r="G11" s="88">
        <f>COUNTIF(firms!F161:F207,  "Netherlands")</f>
        <v>4</v>
      </c>
      <c r="H11" s="89">
        <f>G11/C11</f>
        <v>0.2</v>
      </c>
      <c r="I11" s="62">
        <v>1</v>
      </c>
      <c r="J11" s="62">
        <v>2</v>
      </c>
      <c r="K11" s="62">
        <v>1</v>
      </c>
      <c r="L11" s="151">
        <v>0</v>
      </c>
      <c r="M11" s="144">
        <f>C11-G11</f>
        <v>16</v>
      </c>
      <c r="N11" s="89">
        <f>M11/159</f>
        <v>0.10062893081761007</v>
      </c>
      <c r="O11" s="89">
        <f>M11/$M$10</f>
        <v>0.44444444444444442</v>
      </c>
      <c r="P11" s="88">
        <v>6</v>
      </c>
      <c r="Q11" s="62">
        <v>10</v>
      </c>
      <c r="R11" s="62">
        <v>0</v>
      </c>
      <c r="S11" s="89">
        <f>P11/M11</f>
        <v>0.375</v>
      </c>
      <c r="T11" s="89">
        <f>Q11/M11</f>
        <v>0.625</v>
      </c>
      <c r="U11" s="90">
        <f>R11/M11</f>
        <v>0</v>
      </c>
      <c r="V11" s="62">
        <f>SUMIF(firms!F2:F160,"Netherlands",firms!M2:M160)</f>
        <v>540</v>
      </c>
      <c r="W11" s="68">
        <f>V11/$V$10</f>
        <v>0.31671554252199413</v>
      </c>
      <c r="X11" s="164">
        <f>V11/M11</f>
        <v>33.75</v>
      </c>
    </row>
    <row r="12" spans="1:24" s="25" customFormat="1" x14ac:dyDescent="0.35">
      <c r="A12" s="39"/>
      <c r="B12" s="51" t="s">
        <v>49</v>
      </c>
      <c r="C12" s="88">
        <f>COUNTIF(Tabella2[COUNTRY_founded_or_current],  "Austria")</f>
        <v>16</v>
      </c>
      <c r="D12" s="89">
        <f>C12/206</f>
        <v>7.7669902912621352E-2</v>
      </c>
      <c r="E12" s="90">
        <f>C12/$C$10</f>
        <v>0.38095238095238093</v>
      </c>
      <c r="F12" s="75">
        <f>AVERAGEIF(firms!F5:F163,"Austria",firms!D5:D163)</f>
        <v>13.466666666666667</v>
      </c>
      <c r="G12" s="88">
        <f>COUNTIF(firms!F161:F207,  "Austria")</f>
        <v>1</v>
      </c>
      <c r="H12" s="89">
        <f>G12/C12</f>
        <v>6.25E-2</v>
      </c>
      <c r="I12" s="62">
        <v>1</v>
      </c>
      <c r="J12" s="62">
        <v>0</v>
      </c>
      <c r="K12" s="62">
        <v>0</v>
      </c>
      <c r="L12" s="151">
        <v>0</v>
      </c>
      <c r="M12" s="144">
        <f>C12-G12</f>
        <v>15</v>
      </c>
      <c r="N12" s="89">
        <f t="shared" ref="N12:N14" si="2">M12/159</f>
        <v>9.4339622641509441E-2</v>
      </c>
      <c r="O12" s="89">
        <f t="shared" ref="O12:O14" si="3">M12/$M$10</f>
        <v>0.41666666666666669</v>
      </c>
      <c r="P12" s="88">
        <v>6</v>
      </c>
      <c r="Q12" s="62">
        <v>9</v>
      </c>
      <c r="R12" s="62">
        <v>0</v>
      </c>
      <c r="S12" s="89">
        <f>P12/M12</f>
        <v>0.4</v>
      </c>
      <c r="T12" s="89">
        <f>Q12/M12</f>
        <v>0.6</v>
      </c>
      <c r="U12" s="90">
        <f>R12/M12</f>
        <v>0</v>
      </c>
      <c r="V12" s="62">
        <f>SUMIF(firms!F2:F160,"Austria",firms!M2:M160)</f>
        <v>1080</v>
      </c>
      <c r="W12" s="68">
        <f>V12/$V$10</f>
        <v>0.63343108504398826</v>
      </c>
      <c r="X12" s="164">
        <f>V12/M12</f>
        <v>72</v>
      </c>
    </row>
    <row r="13" spans="1:24" s="25" customFormat="1" x14ac:dyDescent="0.35">
      <c r="A13" s="39"/>
      <c r="B13" s="51" t="s">
        <v>482</v>
      </c>
      <c r="C13" s="88">
        <f>COUNTIF(Tabella2[COUNTRY_founded_or_current],  "Lithuania")</f>
        <v>3</v>
      </c>
      <c r="D13" s="89">
        <f>C13/206</f>
        <v>1.4563106796116505E-2</v>
      </c>
      <c r="E13" s="90">
        <f>C13/$C$10</f>
        <v>7.1428571428571425E-2</v>
      </c>
      <c r="F13" s="75">
        <f>AVERAGEIF(firms!F5:F163,"Lithuania",firms!D5:D163)</f>
        <v>11.5</v>
      </c>
      <c r="G13" s="88">
        <f>COUNTIF(firms!F161:F207,  "Lithuania")</f>
        <v>1</v>
      </c>
      <c r="H13" s="89">
        <f>G13/C13</f>
        <v>0.33333333333333331</v>
      </c>
      <c r="I13" s="62">
        <v>0</v>
      </c>
      <c r="J13" s="62">
        <v>0</v>
      </c>
      <c r="K13" s="62">
        <v>0</v>
      </c>
      <c r="L13" s="151">
        <v>1</v>
      </c>
      <c r="M13" s="144">
        <f>C13-G13</f>
        <v>2</v>
      </c>
      <c r="N13" s="89">
        <f t="shared" si="2"/>
        <v>1.2578616352201259E-2</v>
      </c>
      <c r="O13" s="89">
        <f t="shared" si="3"/>
        <v>5.5555555555555552E-2</v>
      </c>
      <c r="P13" s="88">
        <v>0</v>
      </c>
      <c r="Q13" s="62">
        <v>2</v>
      </c>
      <c r="R13" s="62">
        <v>0</v>
      </c>
      <c r="S13" s="89">
        <f>P13/M13</f>
        <v>0</v>
      </c>
      <c r="T13" s="89">
        <f>Q13/M13</f>
        <v>1</v>
      </c>
      <c r="U13" s="90">
        <f>R13/M13</f>
        <v>0</v>
      </c>
      <c r="V13" s="62">
        <f>SUMIF(firms!F2:F160,"Lithuania",firms!M2:M160)</f>
        <v>71</v>
      </c>
      <c r="W13" s="68">
        <f>V13/$V$10</f>
        <v>4.1642228739002932E-2</v>
      </c>
      <c r="X13" s="164">
        <f>V13/M13</f>
        <v>35.5</v>
      </c>
    </row>
    <row r="14" spans="1:24" s="25" customFormat="1" x14ac:dyDescent="0.35">
      <c r="A14" s="39"/>
      <c r="B14" s="51" t="s">
        <v>140</v>
      </c>
      <c r="C14" s="88">
        <f>COUNTIF(Tabella2[COUNTRY_founded_or_current],  "Estonia")</f>
        <v>3</v>
      </c>
      <c r="D14" s="89">
        <f>C14/206</f>
        <v>1.4563106796116505E-2</v>
      </c>
      <c r="E14" s="90">
        <f>C14/$C$10</f>
        <v>7.1428571428571425E-2</v>
      </c>
      <c r="F14" s="75">
        <f>AVERAGEIF(firms!F5:F163,"Estonia",firms!D5:D163)</f>
        <v>9.3333333333333339</v>
      </c>
      <c r="G14" s="88">
        <f>COUNTIF(firms!F161:F207,  "Estonia")</f>
        <v>0</v>
      </c>
      <c r="H14" s="89">
        <f>G14/C14</f>
        <v>0</v>
      </c>
      <c r="I14" s="62">
        <v>0</v>
      </c>
      <c r="J14" s="62">
        <v>0</v>
      </c>
      <c r="K14" s="62">
        <v>0</v>
      </c>
      <c r="L14" s="151">
        <v>0</v>
      </c>
      <c r="M14" s="144">
        <f>C14-G14</f>
        <v>3</v>
      </c>
      <c r="N14" s="89">
        <f t="shared" si="2"/>
        <v>1.8867924528301886E-2</v>
      </c>
      <c r="O14" s="89">
        <f t="shared" si="3"/>
        <v>8.3333333333333329E-2</v>
      </c>
      <c r="P14" s="88">
        <v>0</v>
      </c>
      <c r="Q14" s="62">
        <v>2</v>
      </c>
      <c r="R14" s="62">
        <v>1</v>
      </c>
      <c r="S14" s="89">
        <f>P14/M14</f>
        <v>0</v>
      </c>
      <c r="T14" s="89">
        <f>Q14/M14</f>
        <v>0.66666666666666663</v>
      </c>
      <c r="U14" s="90">
        <f>R14/M14</f>
        <v>0.33333333333333331</v>
      </c>
      <c r="V14" s="62">
        <f>SUMIF(firms!F2:F160,"Estonia",firms!M2:M160)</f>
        <v>14</v>
      </c>
      <c r="W14" s="68">
        <f>V14/$V$10</f>
        <v>8.2111436950146627E-3</v>
      </c>
      <c r="X14" s="164">
        <f>V14/M14</f>
        <v>4.666666666666667</v>
      </c>
    </row>
    <row r="15" spans="1:24" s="17" customFormat="1" x14ac:dyDescent="0.35">
      <c r="A15" s="37"/>
      <c r="B15" s="49"/>
      <c r="C15" s="85"/>
      <c r="D15" s="86"/>
      <c r="E15" s="87"/>
      <c r="F15" s="76"/>
      <c r="G15" s="85"/>
      <c r="H15" s="86"/>
      <c r="I15" s="61"/>
      <c r="J15" s="61"/>
      <c r="K15" s="61"/>
      <c r="L15" s="148"/>
      <c r="M15" s="143"/>
      <c r="N15" s="86"/>
      <c r="O15" s="86"/>
      <c r="P15" s="85"/>
      <c r="Q15" s="61"/>
      <c r="R15" s="61"/>
      <c r="S15" s="86"/>
      <c r="T15" s="86"/>
      <c r="U15" s="87"/>
      <c r="V15" s="61"/>
      <c r="W15" s="67"/>
      <c r="X15" s="165"/>
    </row>
    <row r="16" spans="1:24" s="31" customFormat="1" ht="15" thickBot="1" x14ac:dyDescent="0.4">
      <c r="A16" s="40" t="s">
        <v>483</v>
      </c>
      <c r="B16" s="52"/>
      <c r="C16" s="120">
        <f>SUM(C17:C19)</f>
        <v>18</v>
      </c>
      <c r="D16" s="121">
        <f>SUM(D17:D19)</f>
        <v>8.7378640776699018E-2</v>
      </c>
      <c r="E16" s="122">
        <f>SUM(E17:E19)</f>
        <v>0.99999999999999989</v>
      </c>
      <c r="F16" s="124">
        <f>AVERAGEIF(firms!E2:E160,"EST",firms!D2:D163)</f>
        <v>18.850000000000001</v>
      </c>
      <c r="G16" s="120">
        <f>SUM(G17:G19)</f>
        <v>1</v>
      </c>
      <c r="H16" s="121">
        <f>G16/C16</f>
        <v>5.5555555555555552E-2</v>
      </c>
      <c r="I16" s="123">
        <f>SUM(I17:I19)</f>
        <v>0</v>
      </c>
      <c r="J16" s="123">
        <f>SUM(J17:J19)</f>
        <v>0</v>
      </c>
      <c r="K16" s="123">
        <f>SUM(K17:K19)</f>
        <v>0</v>
      </c>
      <c r="L16" s="152">
        <f>SUM(L17:L19)</f>
        <v>1</v>
      </c>
      <c r="M16" s="123">
        <f>C16-G16</f>
        <v>17</v>
      </c>
      <c r="N16" s="121">
        <f>SUM(N17:N19)</f>
        <v>0.1069182389937107</v>
      </c>
      <c r="O16" s="121">
        <f>SUM(O17:O19)</f>
        <v>1</v>
      </c>
      <c r="P16" s="120">
        <f>SUM(P17:P19)</f>
        <v>6</v>
      </c>
      <c r="Q16" s="123">
        <f>SUM(Q17:Q19)</f>
        <v>9</v>
      </c>
      <c r="R16" s="123">
        <f>SUM(R17:R19)</f>
        <v>2</v>
      </c>
      <c r="S16" s="121">
        <f>P16/$M$16</f>
        <v>0.35294117647058826</v>
      </c>
      <c r="T16" s="121">
        <f>Q16/$M$16</f>
        <v>0.52941176470588236</v>
      </c>
      <c r="U16" s="122">
        <f>R16/$M$16</f>
        <v>0.11764705882352941</v>
      </c>
      <c r="V16" s="123">
        <f>SUM(V17:V19)</f>
        <v>626</v>
      </c>
      <c r="W16" s="121">
        <f>V16/V29</f>
        <v>7.369040612124779E-2</v>
      </c>
      <c r="X16" s="166">
        <f>V16/M16</f>
        <v>36.823529411764703</v>
      </c>
    </row>
    <row r="17" spans="1:24" s="28" customFormat="1" x14ac:dyDescent="0.35">
      <c r="A17" s="41"/>
      <c r="B17" s="53" t="s">
        <v>484</v>
      </c>
      <c r="C17" s="91">
        <f>COUNTIF(Tabella2[COUNTRY_founded_or_current],  "Poland")</f>
        <v>6</v>
      </c>
      <c r="D17" s="92">
        <f>C17/206</f>
        <v>2.9126213592233011E-2</v>
      </c>
      <c r="E17" s="93">
        <f>C17/$C$16</f>
        <v>0.33333333333333331</v>
      </c>
      <c r="F17" s="77">
        <f>AVERAGEIF(firms!F5:F163,"Poland",firms!D5:D163)</f>
        <v>8.1666666666666661</v>
      </c>
      <c r="G17" s="91">
        <f>COUNTIF(firms!F161:F207,  "Poland")</f>
        <v>0</v>
      </c>
      <c r="H17" s="92">
        <f>G17/C17</f>
        <v>0</v>
      </c>
      <c r="I17" s="63">
        <v>0</v>
      </c>
      <c r="J17" s="63">
        <v>0</v>
      </c>
      <c r="K17" s="63">
        <v>0</v>
      </c>
      <c r="L17" s="153">
        <v>0</v>
      </c>
      <c r="M17" s="145">
        <f>C17-G17</f>
        <v>6</v>
      </c>
      <c r="N17" s="92">
        <f>M17/159</f>
        <v>3.7735849056603772E-2</v>
      </c>
      <c r="O17" s="92">
        <f>M17/$M$16</f>
        <v>0.35294117647058826</v>
      </c>
      <c r="P17" s="91">
        <v>3</v>
      </c>
      <c r="Q17" s="63">
        <v>2</v>
      </c>
      <c r="R17" s="63">
        <v>1</v>
      </c>
      <c r="S17" s="92">
        <f>P17/M17</f>
        <v>0.5</v>
      </c>
      <c r="T17" s="92">
        <f>Q17/M17</f>
        <v>0.33333333333333331</v>
      </c>
      <c r="U17" s="93">
        <f>R17/M17</f>
        <v>0.16666666666666666</v>
      </c>
      <c r="V17" s="63">
        <f>SUMIF(firms!F2:F160,"Poland",firms!M2:M160)</f>
        <v>128</v>
      </c>
      <c r="W17" s="69">
        <f>V17/$V$16</f>
        <v>0.20447284345047922</v>
      </c>
      <c r="X17" s="167">
        <f>V17/M17</f>
        <v>21.333333333333332</v>
      </c>
    </row>
    <row r="18" spans="1:24" s="28" customFormat="1" x14ac:dyDescent="0.35">
      <c r="A18" s="41"/>
      <c r="B18" s="53" t="s">
        <v>485</v>
      </c>
      <c r="C18" s="91">
        <f>COUNTIF(Tabella2[COUNTRY_founded_or_current],  "Czech Republic")</f>
        <v>9</v>
      </c>
      <c r="D18" s="92">
        <f>C18/206</f>
        <v>4.3689320388349516E-2</v>
      </c>
      <c r="E18" s="93">
        <f>C18/$C$16</f>
        <v>0.5</v>
      </c>
      <c r="F18" s="77">
        <f>AVERAGEIF(firms!F5:F163,"Czech Republic",firms!D5:D163)</f>
        <v>29.555555555555557</v>
      </c>
      <c r="G18" s="91">
        <f>COUNTIF(firms!F161:F207,  "Czech Republic")</f>
        <v>0</v>
      </c>
      <c r="H18" s="92">
        <f>G18/C18</f>
        <v>0</v>
      </c>
      <c r="I18" s="63">
        <v>0</v>
      </c>
      <c r="J18" s="63">
        <v>0</v>
      </c>
      <c r="K18" s="63">
        <v>0</v>
      </c>
      <c r="L18" s="153">
        <v>0</v>
      </c>
      <c r="M18" s="145">
        <f>C18-G18</f>
        <v>9</v>
      </c>
      <c r="N18" s="92">
        <f t="shared" ref="N18:N19" si="4">M18/159</f>
        <v>5.6603773584905662E-2</v>
      </c>
      <c r="O18" s="92">
        <f t="shared" ref="O18:O19" si="5">M18/$M$16</f>
        <v>0.52941176470588236</v>
      </c>
      <c r="P18" s="91">
        <v>2</v>
      </c>
      <c r="Q18" s="63">
        <v>6</v>
      </c>
      <c r="R18" s="63">
        <v>1</v>
      </c>
      <c r="S18" s="92">
        <f>P18/M18</f>
        <v>0.22222222222222221</v>
      </c>
      <c r="T18" s="92">
        <f>Q18/M18</f>
        <v>0.66666666666666663</v>
      </c>
      <c r="U18" s="93">
        <f>R18/M18</f>
        <v>0.1111111111111111</v>
      </c>
      <c r="V18" s="63">
        <f>SUMIF(firms!F2:F160,"Czech Republic",firms!M2:M160)</f>
        <v>487</v>
      </c>
      <c r="W18" s="69">
        <f>V18/$V$16</f>
        <v>0.77795527156549515</v>
      </c>
      <c r="X18" s="167">
        <f>V18/M18</f>
        <v>54.111111111111114</v>
      </c>
    </row>
    <row r="19" spans="1:24" s="28" customFormat="1" x14ac:dyDescent="0.35">
      <c r="A19" s="41"/>
      <c r="B19" s="53" t="s">
        <v>486</v>
      </c>
      <c r="C19" s="91">
        <f>COUNTIF(Tabella2[COUNTRY_founded_or_current],  "Greece")</f>
        <v>3</v>
      </c>
      <c r="D19" s="92">
        <f>C19/206</f>
        <v>1.4563106796116505E-2</v>
      </c>
      <c r="E19" s="93">
        <f>C19/$C$16</f>
        <v>0.16666666666666666</v>
      </c>
      <c r="F19" s="77">
        <f>AVERAGEIF(firms!F5:F163,"Greece",firms!D5:D163)</f>
        <v>17</v>
      </c>
      <c r="G19" s="91">
        <f>COUNTIF(firms!F161:F207,  "Greece")</f>
        <v>1</v>
      </c>
      <c r="H19" s="92">
        <f>G19/C19</f>
        <v>0.33333333333333331</v>
      </c>
      <c r="I19" s="63">
        <v>0</v>
      </c>
      <c r="J19" s="63">
        <v>0</v>
      </c>
      <c r="K19" s="63">
        <v>0</v>
      </c>
      <c r="L19" s="153">
        <v>1</v>
      </c>
      <c r="M19" s="145">
        <f>C19-G19</f>
        <v>2</v>
      </c>
      <c r="N19" s="92">
        <f t="shared" si="4"/>
        <v>1.2578616352201259E-2</v>
      </c>
      <c r="O19" s="92">
        <f t="shared" si="5"/>
        <v>0.11764705882352941</v>
      </c>
      <c r="P19" s="91">
        <v>1</v>
      </c>
      <c r="Q19" s="63">
        <v>1</v>
      </c>
      <c r="R19" s="63">
        <v>0</v>
      </c>
      <c r="S19" s="92">
        <f>P19/M19</f>
        <v>0.5</v>
      </c>
      <c r="T19" s="92">
        <f>Q19/M19</f>
        <v>0.5</v>
      </c>
      <c r="U19" s="93">
        <f>R19/M19</f>
        <v>0</v>
      </c>
      <c r="V19" s="63">
        <f>SUMIF(firms!F2:F160,"Greece",firms!M2:M160)</f>
        <v>11</v>
      </c>
      <c r="W19" s="69">
        <f>V19/$V$16</f>
        <v>1.7571884984025558E-2</v>
      </c>
      <c r="X19" s="167">
        <f>V19/M19</f>
        <v>5.5</v>
      </c>
    </row>
    <row r="20" spans="1:24" s="17" customFormat="1" x14ac:dyDescent="0.35">
      <c r="A20" s="37"/>
      <c r="B20" s="49"/>
      <c r="C20" s="85"/>
      <c r="D20" s="86"/>
      <c r="E20" s="87"/>
      <c r="F20" s="76"/>
      <c r="G20" s="85"/>
      <c r="H20" s="86"/>
      <c r="I20" s="61"/>
      <c r="J20" s="61"/>
      <c r="K20" s="61"/>
      <c r="L20" s="148"/>
      <c r="M20" s="143"/>
      <c r="N20" s="86"/>
      <c r="O20" s="86"/>
      <c r="P20" s="85"/>
      <c r="Q20" s="61"/>
      <c r="R20" s="61"/>
      <c r="S20" s="86"/>
      <c r="T20" s="86"/>
      <c r="U20" s="87"/>
      <c r="V20" s="61"/>
      <c r="W20" s="67"/>
      <c r="X20" s="165"/>
    </row>
    <row r="21" spans="1:24" s="32" customFormat="1" ht="15" thickBot="1" x14ac:dyDescent="0.4">
      <c r="A21" s="42" t="s">
        <v>487</v>
      </c>
      <c r="B21" s="54"/>
      <c r="C21" s="115">
        <f>SUM(C22:C23)</f>
        <v>62</v>
      </c>
      <c r="D21" s="116">
        <f>SUM(D22:D23)</f>
        <v>0.30097087378640774</v>
      </c>
      <c r="E21" s="117">
        <f>SUM(E22:E23)</f>
        <v>1</v>
      </c>
      <c r="F21" s="119">
        <f>AVERAGEIF(firms!E2:E160,"ASIA",firms!D2:D163)</f>
        <v>35.083333333333336</v>
      </c>
      <c r="G21" s="115">
        <f>SUM(G22:G23)</f>
        <v>26</v>
      </c>
      <c r="H21" s="116">
        <f>G21/C21</f>
        <v>0.41935483870967744</v>
      </c>
      <c r="I21" s="118">
        <f>SUM(I22:I23)</f>
        <v>16</v>
      </c>
      <c r="J21" s="118">
        <f>SUM(J22:J23)</f>
        <v>6</v>
      </c>
      <c r="K21" s="118">
        <f>SUM(K22:K23)</f>
        <v>4</v>
      </c>
      <c r="L21" s="154">
        <f>SUM(L22:L23)</f>
        <v>0</v>
      </c>
      <c r="M21" s="118">
        <f>C21-G21</f>
        <v>36</v>
      </c>
      <c r="N21" s="116">
        <f>SUM(N22:N23)</f>
        <v>0.22641509433962265</v>
      </c>
      <c r="O21" s="116">
        <f>SUM(O22:O23)</f>
        <v>1</v>
      </c>
      <c r="P21" s="115">
        <f>SUM(P22:P23)</f>
        <v>14</v>
      </c>
      <c r="Q21" s="118">
        <f>SUM(Q22:Q23)</f>
        <v>19</v>
      </c>
      <c r="R21" s="118">
        <f>SUM(R22:R23)</f>
        <v>3</v>
      </c>
      <c r="S21" s="116">
        <f>P21/$M$21</f>
        <v>0.3888888888888889</v>
      </c>
      <c r="T21" s="116">
        <f>Q21/$M$21</f>
        <v>0.52777777777777779</v>
      </c>
      <c r="U21" s="117">
        <f>R21/$M$21</f>
        <v>8.3333333333333329E-2</v>
      </c>
      <c r="V21" s="118">
        <f>SUM(V22:V23)</f>
        <v>3697</v>
      </c>
      <c r="W21" s="116">
        <f>V21/V29</f>
        <v>0.43519717480871101</v>
      </c>
      <c r="X21" s="168">
        <f>V21/M21</f>
        <v>102.69444444444444</v>
      </c>
    </row>
    <row r="22" spans="1:24" s="27" customFormat="1" x14ac:dyDescent="0.35">
      <c r="A22" s="43"/>
      <c r="B22" s="55" t="s">
        <v>488</v>
      </c>
      <c r="C22" s="94">
        <f>COUNTIF(Tabella2[COUNTRY_founded_or_current],  "China")</f>
        <v>20</v>
      </c>
      <c r="D22" s="95">
        <f>C22/206</f>
        <v>9.7087378640776698E-2</v>
      </c>
      <c r="E22" s="96">
        <f>C22/$C$21</f>
        <v>0.32258064516129031</v>
      </c>
      <c r="F22" s="78">
        <f>AVERAGEIF(firms!F5:F163,"China",firms!D5:D163)</f>
        <v>23.5</v>
      </c>
      <c r="G22" s="94">
        <f>COUNTIF(firms!F161:F207,  "China")</f>
        <v>6</v>
      </c>
      <c r="H22" s="95">
        <f>G22/C22</f>
        <v>0.3</v>
      </c>
      <c r="I22" s="64">
        <v>3</v>
      </c>
      <c r="J22" s="64">
        <v>3</v>
      </c>
      <c r="K22" s="64">
        <v>0</v>
      </c>
      <c r="L22" s="155">
        <v>0</v>
      </c>
      <c r="M22" s="146">
        <f>C22-G22</f>
        <v>14</v>
      </c>
      <c r="N22" s="95">
        <f>M22/159</f>
        <v>8.8050314465408799E-2</v>
      </c>
      <c r="O22" s="95">
        <f>M22/$M$21</f>
        <v>0.3888888888888889</v>
      </c>
      <c r="P22" s="94">
        <v>5</v>
      </c>
      <c r="Q22" s="64">
        <v>8</v>
      </c>
      <c r="R22" s="64">
        <v>1</v>
      </c>
      <c r="S22" s="95">
        <f>P22/M22</f>
        <v>0.35714285714285715</v>
      </c>
      <c r="T22" s="95">
        <f>Q22/M22</f>
        <v>0.5714285714285714</v>
      </c>
      <c r="U22" s="96">
        <f>R22/M22</f>
        <v>7.1428571428571425E-2</v>
      </c>
      <c r="V22" s="64">
        <f>SUMIF(firms!F2:F160,"China",firms!M2:M160)</f>
        <v>1782</v>
      </c>
      <c r="W22" s="70">
        <f>V22/$V$21</f>
        <v>0.48201244252096292</v>
      </c>
      <c r="X22" s="169">
        <f>V22/M22</f>
        <v>127.28571428571429</v>
      </c>
    </row>
    <row r="23" spans="1:24" s="27" customFormat="1" x14ac:dyDescent="0.35">
      <c r="A23" s="43"/>
      <c r="B23" s="55" t="s">
        <v>489</v>
      </c>
      <c r="C23" s="94">
        <f>COUNTIF(Tabella2[COUNTRY_founded_or_current],  "Japan")</f>
        <v>42</v>
      </c>
      <c r="D23" s="95">
        <f>C23/206</f>
        <v>0.20388349514563106</v>
      </c>
      <c r="E23" s="96">
        <f>C23/$C$21</f>
        <v>0.67741935483870963</v>
      </c>
      <c r="F23" s="78">
        <f>AVERAGEIF(firms!F5:F163,"Japan",firms!D5:D163)</f>
        <v>42.454545454545453</v>
      </c>
      <c r="G23" s="94">
        <f>COUNTIF(firms!F161:F207,  "Japan")</f>
        <v>20</v>
      </c>
      <c r="H23" s="95">
        <f>G23/C23</f>
        <v>0.47619047619047616</v>
      </c>
      <c r="I23" s="64">
        <v>13</v>
      </c>
      <c r="J23" s="64">
        <v>3</v>
      </c>
      <c r="K23" s="64">
        <v>4</v>
      </c>
      <c r="L23" s="155">
        <v>0</v>
      </c>
      <c r="M23" s="146">
        <f>C23-G23</f>
        <v>22</v>
      </c>
      <c r="N23" s="95">
        <f>M23/159</f>
        <v>0.13836477987421383</v>
      </c>
      <c r="O23" s="95">
        <f>M23/$M$21</f>
        <v>0.61111111111111116</v>
      </c>
      <c r="P23" s="94">
        <v>9</v>
      </c>
      <c r="Q23" s="64">
        <v>11</v>
      </c>
      <c r="R23" s="64">
        <v>2</v>
      </c>
      <c r="S23" s="95">
        <f>P23/M23</f>
        <v>0.40909090909090912</v>
      </c>
      <c r="T23" s="95">
        <f>Q23/M23</f>
        <v>0.5</v>
      </c>
      <c r="U23" s="96">
        <f>R23/M23</f>
        <v>9.0909090909090912E-2</v>
      </c>
      <c r="V23" s="64">
        <f>SUMIF(firms!F2:F160,"Japan",firms!M2:M160)</f>
        <v>1915</v>
      </c>
      <c r="W23" s="70">
        <f>V23/$V$21</f>
        <v>0.51798755747903702</v>
      </c>
      <c r="X23" s="169">
        <f>V23/M23</f>
        <v>87.045454545454547</v>
      </c>
    </row>
    <row r="24" spans="1:24" s="17" customFormat="1" x14ac:dyDescent="0.35">
      <c r="A24" s="37"/>
      <c r="B24" s="49"/>
      <c r="C24" s="85"/>
      <c r="D24" s="86"/>
      <c r="E24" s="87"/>
      <c r="F24" s="76"/>
      <c r="G24" s="85"/>
      <c r="H24" s="86"/>
      <c r="I24" s="61"/>
      <c r="J24" s="61"/>
      <c r="K24" s="61"/>
      <c r="L24" s="148"/>
      <c r="M24" s="143"/>
      <c r="N24" s="86"/>
      <c r="O24" s="86"/>
      <c r="P24" s="85"/>
      <c r="Q24" s="61"/>
      <c r="R24" s="61"/>
      <c r="S24" s="86"/>
      <c r="T24" s="86"/>
      <c r="U24" s="87"/>
      <c r="V24" s="61"/>
      <c r="W24" s="67"/>
      <c r="X24" s="165"/>
    </row>
    <row r="25" spans="1:24" s="33" customFormat="1" ht="15" thickBot="1" x14ac:dyDescent="0.4">
      <c r="A25" s="44" t="s">
        <v>490</v>
      </c>
      <c r="B25" s="56"/>
      <c r="C25" s="110">
        <f>SUM(C26:C27)</f>
        <v>16</v>
      </c>
      <c r="D25" s="111">
        <f>SUM(D26:D27)</f>
        <v>7.7669902912621352E-2</v>
      </c>
      <c r="E25" s="112">
        <f>SUM(E26:E27)</f>
        <v>1</v>
      </c>
      <c r="F25" s="114">
        <f>AVERAGEIF(firms!E2:E160,"OCE",firms!D2:D163)</f>
        <v>14.538461538461538</v>
      </c>
      <c r="G25" s="110">
        <f>SUM(G26:G27)</f>
        <v>3</v>
      </c>
      <c r="H25" s="111">
        <f>G25/C25</f>
        <v>0.1875</v>
      </c>
      <c r="I25" s="113">
        <f>SUM(I26:I27)</f>
        <v>0</v>
      </c>
      <c r="J25" s="113">
        <f>SUM(J26:J27)</f>
        <v>1</v>
      </c>
      <c r="K25" s="113">
        <f>SUM(K26:K27)</f>
        <v>0</v>
      </c>
      <c r="L25" s="156">
        <f>SUM(L26:L27)</f>
        <v>2</v>
      </c>
      <c r="M25" s="113">
        <f>C25-G25</f>
        <v>13</v>
      </c>
      <c r="N25" s="111">
        <f>SUM(N26:N27)</f>
        <v>8.1761006289308172E-2</v>
      </c>
      <c r="O25" s="111">
        <f>SUM(O26:O27)</f>
        <v>1</v>
      </c>
      <c r="P25" s="110">
        <f>SUM(P26:P27)</f>
        <v>5</v>
      </c>
      <c r="Q25" s="113">
        <f>SUM(Q26:Q27)</f>
        <v>8</v>
      </c>
      <c r="R25" s="113">
        <f>SUM(R26:R27)</f>
        <v>0</v>
      </c>
      <c r="S25" s="111">
        <f>P25/$M$25</f>
        <v>0.38461538461538464</v>
      </c>
      <c r="T25" s="111">
        <f>Q25/$M$25</f>
        <v>0.61538461538461542</v>
      </c>
      <c r="U25" s="112">
        <f>R25/$M$25</f>
        <v>0</v>
      </c>
      <c r="V25" s="113">
        <f>SUM(V26:V27)</f>
        <v>473</v>
      </c>
      <c r="W25" s="111">
        <f>V25/V29</f>
        <v>5.5679811653914064E-2</v>
      </c>
      <c r="X25" s="170">
        <f>V25/M25</f>
        <v>36.384615384615387</v>
      </c>
    </row>
    <row r="26" spans="1:24" s="29" customFormat="1" x14ac:dyDescent="0.35">
      <c r="A26" s="45"/>
      <c r="B26" s="57" t="s">
        <v>16</v>
      </c>
      <c r="C26" s="97">
        <f>COUNTIF(Tabella2[COUNTRY_founded_or_current],  "Australia")</f>
        <v>15</v>
      </c>
      <c r="D26" s="98">
        <f>C26/206</f>
        <v>7.281553398058252E-2</v>
      </c>
      <c r="E26" s="99">
        <f>C26/$C$25</f>
        <v>0.9375</v>
      </c>
      <c r="F26" s="79">
        <f>AVERAGEIF(firms!F5:F163,"Australia",firms!D5:D163)</f>
        <v>15.363636363636363</v>
      </c>
      <c r="G26" s="97">
        <f>COUNTIF(firms!F161:F207,  "Australia")</f>
        <v>3</v>
      </c>
      <c r="H26" s="98">
        <f>G26/C26</f>
        <v>0.2</v>
      </c>
      <c r="I26" s="65">
        <v>0</v>
      </c>
      <c r="J26" s="65">
        <v>1</v>
      </c>
      <c r="K26" s="65">
        <v>0</v>
      </c>
      <c r="L26" s="157">
        <v>2</v>
      </c>
      <c r="M26" s="147">
        <f>C26-G26</f>
        <v>12</v>
      </c>
      <c r="N26" s="98">
        <f>M26/159</f>
        <v>7.5471698113207544E-2</v>
      </c>
      <c r="O26" s="98">
        <f>M26/$M$25</f>
        <v>0.92307692307692313</v>
      </c>
      <c r="P26" s="97">
        <v>5</v>
      </c>
      <c r="Q26" s="65">
        <v>7</v>
      </c>
      <c r="R26" s="65">
        <v>0</v>
      </c>
      <c r="S26" s="98">
        <f>P26/M26</f>
        <v>0.41666666666666669</v>
      </c>
      <c r="T26" s="98">
        <f>Q26/M26</f>
        <v>0.58333333333333337</v>
      </c>
      <c r="U26" s="99">
        <f>R26/M26</f>
        <v>0</v>
      </c>
      <c r="V26" s="65">
        <f>SUMIF(firms!F2:F160,"Australia",firms!M2:M160)</f>
        <v>461</v>
      </c>
      <c r="W26" s="71">
        <f>V26/$V$25</f>
        <v>0.97463002114164909</v>
      </c>
      <c r="X26" s="171">
        <f>V26/M26</f>
        <v>38.416666666666664</v>
      </c>
    </row>
    <row r="27" spans="1:24" s="29" customFormat="1" x14ac:dyDescent="0.35">
      <c r="A27" s="45"/>
      <c r="B27" s="57" t="s">
        <v>491</v>
      </c>
      <c r="C27" s="97">
        <f>COUNTIF(Tabella2[COUNTRY_founded_or_current],  "New Zealand")</f>
        <v>1</v>
      </c>
      <c r="D27" s="98">
        <f>C27/206</f>
        <v>4.8543689320388345E-3</v>
      </c>
      <c r="E27" s="99">
        <f>C27/$C$25</f>
        <v>6.25E-2</v>
      </c>
      <c r="F27" s="79">
        <f>AVERAGEIF(firms!F5:F163,"New Zealand",firms!D5:D163)</f>
        <v>5</v>
      </c>
      <c r="G27" s="97">
        <f>COUNTIF(firms!F161:F207,  "New Zealand")</f>
        <v>0</v>
      </c>
      <c r="H27" s="98">
        <f>G27/C27</f>
        <v>0</v>
      </c>
      <c r="I27" s="65">
        <v>0</v>
      </c>
      <c r="J27" s="65">
        <v>0</v>
      </c>
      <c r="K27" s="65">
        <v>0</v>
      </c>
      <c r="L27" s="157">
        <v>0</v>
      </c>
      <c r="M27" s="147">
        <f>C27-G27</f>
        <v>1</v>
      </c>
      <c r="N27" s="98">
        <f>M27/159</f>
        <v>6.2893081761006293E-3</v>
      </c>
      <c r="O27" s="98">
        <f>M27/$M$25</f>
        <v>7.6923076923076927E-2</v>
      </c>
      <c r="P27" s="97">
        <v>0</v>
      </c>
      <c r="Q27" s="65">
        <v>1</v>
      </c>
      <c r="R27" s="65">
        <v>0</v>
      </c>
      <c r="S27" s="98">
        <f>P27/M27</f>
        <v>0</v>
      </c>
      <c r="T27" s="98">
        <f>Q27/M27</f>
        <v>1</v>
      </c>
      <c r="U27" s="99">
        <f>R27/M27</f>
        <v>0</v>
      </c>
      <c r="V27" s="65">
        <f>SUMIF(firms!F2:F160,"New Zealand",firms!M2:M160)</f>
        <v>12</v>
      </c>
      <c r="W27" s="71">
        <f>V27/V25</f>
        <v>2.5369978858350951E-2</v>
      </c>
      <c r="X27" s="171">
        <f>V27/M27</f>
        <v>12</v>
      </c>
    </row>
    <row r="28" spans="1:24" x14ac:dyDescent="0.35">
      <c r="M28" s="6"/>
    </row>
    <row r="29" spans="1:24" s="34" customFormat="1" x14ac:dyDescent="0.35">
      <c r="A29" s="46" t="s">
        <v>492</v>
      </c>
      <c r="B29" s="58"/>
      <c r="C29" s="100">
        <f>SUM(C25+C21+C16+C10+C4)</f>
        <v>206</v>
      </c>
      <c r="D29" s="101">
        <f>SUM(D25+D21+D16+D10+D4)</f>
        <v>0.99999999999999989</v>
      </c>
      <c r="E29" s="102" t="s">
        <v>493</v>
      </c>
      <c r="F29" s="80"/>
      <c r="G29" s="106">
        <f>SUM(G25+G21+G16+G10+G4)</f>
        <v>47</v>
      </c>
      <c r="H29" s="107">
        <f>G29/C29</f>
        <v>0.22815533980582525</v>
      </c>
      <c r="I29" s="108">
        <f t="shared" ref="I29:R29" si="6">SUM(I25+I21+I16+I10+I4)</f>
        <v>22</v>
      </c>
      <c r="J29" s="108">
        <f t="shared" si="6"/>
        <v>12</v>
      </c>
      <c r="K29" s="108">
        <f t="shared" si="6"/>
        <v>7</v>
      </c>
      <c r="L29" s="158">
        <f t="shared" si="6"/>
        <v>6</v>
      </c>
      <c r="M29" s="108">
        <f t="shared" si="6"/>
        <v>159</v>
      </c>
      <c r="N29" s="101">
        <f t="shared" si="6"/>
        <v>1</v>
      </c>
      <c r="O29" s="107" t="s">
        <v>493</v>
      </c>
      <c r="P29" s="137">
        <f t="shared" si="6"/>
        <v>62</v>
      </c>
      <c r="Q29" s="108">
        <f t="shared" si="6"/>
        <v>87</v>
      </c>
      <c r="R29" s="108">
        <f t="shared" si="6"/>
        <v>10</v>
      </c>
      <c r="S29" s="107">
        <f>P29/$M$29</f>
        <v>0.38993710691823902</v>
      </c>
      <c r="T29" s="107">
        <f>Q29/$M$29</f>
        <v>0.54716981132075471</v>
      </c>
      <c r="U29" s="138">
        <f>R29/$M$29</f>
        <v>6.2893081761006289E-2</v>
      </c>
      <c r="V29" s="73">
        <f>SUM(V25+V21+V16+V10+V4)</f>
        <v>8495</v>
      </c>
      <c r="W29" s="47">
        <f>SUM(W25+W21+W16+W10+W4)</f>
        <v>1</v>
      </c>
      <c r="X29" s="172">
        <f>V29/M29</f>
        <v>53.427672955974842</v>
      </c>
    </row>
  </sheetData>
  <mergeCells count="4">
    <mergeCell ref="C2:E2"/>
    <mergeCell ref="P2:U2"/>
    <mergeCell ref="G2:O2"/>
    <mergeCell ref="V2:X2"/>
  </mergeCells>
  <pageMargins left="0.7" right="0.7" top="0.75" bottom="0.75" header="0.3" footer="0.3"/>
  <pageSetup paperSize="9" orientation="portrait" horizontalDpi="300" r:id="rId1"/>
  <headerFooter>
    <oddFooter>&amp;C&amp;1#&amp;"Calibri"&amp;10&amp;K000000Company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"/>
  <sheetViews>
    <sheetView tabSelected="1" workbookViewId="0"/>
  </sheetViews>
  <sheetFormatPr defaultRowHeight="14.5" x14ac:dyDescent="0.35"/>
  <cols>
    <col min="1" max="1" width="24.6328125" bestFit="1" customWidth="1"/>
    <col min="2" max="2" width="12.26953125" customWidth="1"/>
    <col min="3" max="3" width="13.1796875" bestFit="1" customWidth="1"/>
    <col min="4" max="4" width="12.1796875" bestFit="1" customWidth="1"/>
    <col min="5" max="5" width="20.08984375" bestFit="1" customWidth="1"/>
    <col min="7" max="7" width="24.6328125" bestFit="1" customWidth="1"/>
    <col min="8" max="8" width="20.08984375" bestFit="1" customWidth="1"/>
    <col min="9" max="9" width="10.81640625" customWidth="1"/>
    <col min="11" max="11" width="17.453125" bestFit="1" customWidth="1"/>
    <col min="12" max="12" width="13" bestFit="1" customWidth="1"/>
    <col min="13" max="13" width="12.08984375" bestFit="1" customWidth="1"/>
    <col min="14" max="14" width="13.7265625" bestFit="1" customWidth="1"/>
  </cols>
  <sheetData>
    <row r="2" spans="1:8" x14ac:dyDescent="0.35">
      <c r="A2" s="6" t="s">
        <v>495</v>
      </c>
      <c r="B2" s="6" t="s">
        <v>457</v>
      </c>
      <c r="C2" s="6" t="s">
        <v>458</v>
      </c>
      <c r="E2" s="202" t="s">
        <v>494</v>
      </c>
      <c r="F2" s="202" t="s">
        <v>457</v>
      </c>
      <c r="G2" s="202" t="s">
        <v>458</v>
      </c>
      <c r="H2" s="202" t="s">
        <v>473</v>
      </c>
    </row>
    <row r="3" spans="1:8" x14ac:dyDescent="0.35">
      <c r="A3" s="6" t="s">
        <v>497</v>
      </c>
      <c r="B3" s="6">
        <v>159</v>
      </c>
      <c r="C3" s="139">
        <f>Tabella5[[#This Row],['#Aziende]]/Tabella5[[#Totals],['#Aziende]]</f>
        <v>0.77184466019417475</v>
      </c>
      <c r="E3" s="197" t="s">
        <v>496</v>
      </c>
      <c r="F3" s="197">
        <f>COUNTIF(firms!G2:G160, "1")</f>
        <v>62</v>
      </c>
      <c r="G3" s="198">
        <f>Tabelle!$F3/Tabelle!$F$6</f>
        <v>0.38993710691823902</v>
      </c>
      <c r="H3" s="201">
        <f>AVERAGEIF(firms!G2:G160, "1",firms!$D$2:$D$160)</f>
        <v>20.56451612903226</v>
      </c>
    </row>
    <row r="4" spans="1:8" x14ac:dyDescent="0.35">
      <c r="A4" s="6" t="s">
        <v>499</v>
      </c>
      <c r="B4" s="6">
        <v>22</v>
      </c>
      <c r="C4" s="139">
        <f>Tabella5[[#This Row],['#Aziende]]/Tabella5[[#Totals],['#Aziende]]</f>
        <v>0.10679611650485436</v>
      </c>
      <c r="E4" s="199" t="s">
        <v>498</v>
      </c>
      <c r="F4" s="199">
        <f>COUNTIF(firms!H2:H160, "1")</f>
        <v>87</v>
      </c>
      <c r="G4" s="200">
        <f>Tabelle!$F4/Tabelle!$F$6</f>
        <v>0.54716981132075471</v>
      </c>
      <c r="H4" s="205">
        <f>AVERAGEIF(firms!H2:H160, "1",firms!$D$2:$D$160)</f>
        <v>24.942528735632184</v>
      </c>
    </row>
    <row r="5" spans="1:8" ht="15" thickBot="1" x14ac:dyDescent="0.4">
      <c r="A5" s="6" t="s">
        <v>500</v>
      </c>
      <c r="B5" s="6">
        <v>12</v>
      </c>
      <c r="C5" s="139">
        <f>Tabella5[[#This Row],['#Aziende]]/Tabella5[[#Totals],['#Aziende]]</f>
        <v>5.8252427184466021E-2</v>
      </c>
      <c r="E5" s="197" t="s">
        <v>469</v>
      </c>
      <c r="F5" s="197">
        <f>COUNTIF(firms!I2:I160, "1")</f>
        <v>10</v>
      </c>
      <c r="G5" s="198">
        <f>Tabelle!$F5/Tabelle!$F$6</f>
        <v>6.2893081761006289E-2</v>
      </c>
      <c r="H5" s="201">
        <f>AVERAGEIF(firms!I2:I160, "1",firms!$D$2:$D$160)</f>
        <v>11.8</v>
      </c>
    </row>
    <row r="6" spans="1:8" ht="15" thickTop="1" x14ac:dyDescent="0.35">
      <c r="A6" s="6" t="s">
        <v>501</v>
      </c>
      <c r="B6" s="6">
        <v>7</v>
      </c>
      <c r="C6" s="139">
        <f>Tabella5[[#This Row],['#Aziende]]/Tabella5[[#Totals],['#Aziende]]</f>
        <v>3.3980582524271843E-2</v>
      </c>
      <c r="E6" s="203" t="s">
        <v>503</v>
      </c>
      <c r="F6" s="203">
        <f>SUBTOTAL(109,Tabelle!$F$3:$F$5)</f>
        <v>159</v>
      </c>
      <c r="G6" s="204">
        <f>SUBTOTAL(109,Tabelle!$G$3:$G$5)</f>
        <v>1</v>
      </c>
      <c r="H6" s="203" t="s">
        <v>493</v>
      </c>
    </row>
    <row r="7" spans="1:8" x14ac:dyDescent="0.35">
      <c r="A7" s="6" t="s">
        <v>502</v>
      </c>
      <c r="B7" s="6">
        <v>6</v>
      </c>
      <c r="C7" s="139">
        <f>Tabella5[[#This Row],['#Aziende]]/Tabella5[[#Totals],['#Aziende]]</f>
        <v>2.9126213592233011E-2</v>
      </c>
    </row>
    <row r="8" spans="1:8" x14ac:dyDescent="0.35">
      <c r="A8" s="6" t="s">
        <v>503</v>
      </c>
      <c r="B8" s="6">
        <f>SUBTOTAL(109,Tabella5['#Aziende])</f>
        <v>206</v>
      </c>
      <c r="C8" s="140">
        <f>SUBTOTAL(109,Tabella5[%Totale])</f>
        <v>0.99999999999999989</v>
      </c>
    </row>
    <row r="12" spans="1:8" x14ac:dyDescent="0.35">
      <c r="A12" s="6" t="s">
        <v>519</v>
      </c>
      <c r="B12" s="72" t="s">
        <v>520</v>
      </c>
      <c r="C12" t="s">
        <v>507</v>
      </c>
      <c r="E12" t="s">
        <v>519</v>
      </c>
      <c r="F12" t="s">
        <v>527</v>
      </c>
    </row>
    <row r="13" spans="1:8" x14ac:dyDescent="0.35">
      <c r="A13" s="130" t="s">
        <v>521</v>
      </c>
      <c r="B13">
        <f>COUNTIF(firms!N2:N160, "1-5")</f>
        <v>34</v>
      </c>
      <c r="C13" s="131">
        <f t="shared" ref="C13:C18" si="0">B13/159</f>
        <v>0.21383647798742139</v>
      </c>
      <c r="E13" s="132" t="s">
        <v>508</v>
      </c>
      <c r="F13" s="134">
        <f>AVERAGE(firms!M2:M160)</f>
        <v>53.427672955974842</v>
      </c>
    </row>
    <row r="14" spans="1:8" x14ac:dyDescent="0.35">
      <c r="A14" s="130" t="s">
        <v>522</v>
      </c>
      <c r="B14">
        <f>COUNTIF(firms!N2:N160, "6-25")</f>
        <v>67</v>
      </c>
      <c r="C14" s="131">
        <f t="shared" si="0"/>
        <v>0.42138364779874216</v>
      </c>
      <c r="E14" s="133" t="s">
        <v>510</v>
      </c>
      <c r="F14" s="135">
        <f>_xlfn.STDEV.P((firms!M2:M160))</f>
        <v>112.65595530487525</v>
      </c>
    </row>
    <row r="15" spans="1:8" x14ac:dyDescent="0.35">
      <c r="A15" t="s">
        <v>523</v>
      </c>
      <c r="B15">
        <f>COUNTIF(firms!N2:N160, "26-50")</f>
        <v>20</v>
      </c>
      <c r="C15" s="131">
        <f t="shared" si="0"/>
        <v>0.12578616352201258</v>
      </c>
      <c r="E15" s="132" t="s">
        <v>512</v>
      </c>
      <c r="F15">
        <f>MAX((firms!M2:M160))</f>
        <v>858</v>
      </c>
    </row>
    <row r="16" spans="1:8" x14ac:dyDescent="0.35">
      <c r="A16" t="s">
        <v>524</v>
      </c>
      <c r="B16">
        <f>COUNTIF(firms!N2:N160, "51-100")</f>
        <v>19</v>
      </c>
      <c r="C16" s="131">
        <f t="shared" si="0"/>
        <v>0.11949685534591195</v>
      </c>
      <c r="E16" s="133" t="s">
        <v>514</v>
      </c>
      <c r="F16">
        <f>MIN((firms!M2:M160))</f>
        <v>1</v>
      </c>
    </row>
    <row r="17" spans="1:9" x14ac:dyDescent="0.35">
      <c r="A17" t="s">
        <v>525</v>
      </c>
      <c r="B17">
        <f>COUNTIF(firms!N2:N160, "100-300")</f>
        <v>13</v>
      </c>
      <c r="C17" s="131">
        <f t="shared" si="0"/>
        <v>8.1761006289308172E-2</v>
      </c>
      <c r="E17" s="132" t="s">
        <v>516</v>
      </c>
      <c r="F17">
        <f>QUARTILE(firms!M2:M160,1)</f>
        <v>6.5</v>
      </c>
    </row>
    <row r="18" spans="1:9" x14ac:dyDescent="0.35">
      <c r="A18" t="s">
        <v>526</v>
      </c>
      <c r="B18">
        <f>COUNTIF(firms!N2:N160, "300+")</f>
        <v>6</v>
      </c>
      <c r="C18" s="131">
        <f t="shared" si="0"/>
        <v>3.7735849056603772E-2</v>
      </c>
      <c r="E18" s="133" t="s">
        <v>517</v>
      </c>
      <c r="F18">
        <f>QUARTILE(firms!M2:M160,2)</f>
        <v>14</v>
      </c>
    </row>
    <row r="19" spans="1:9" x14ac:dyDescent="0.35">
      <c r="E19" s="132" t="s">
        <v>518</v>
      </c>
      <c r="F19">
        <f>QUARTILE(firms!M2:M160,3)</f>
        <v>49</v>
      </c>
    </row>
    <row r="29" spans="1:9" x14ac:dyDescent="0.35">
      <c r="A29" s="236" t="s">
        <v>506</v>
      </c>
      <c r="B29" s="235" t="s">
        <v>457</v>
      </c>
      <c r="C29" s="235" t="s">
        <v>457</v>
      </c>
      <c r="D29" s="234" t="s">
        <v>507</v>
      </c>
      <c r="H29" t="s">
        <v>504</v>
      </c>
      <c r="I29" t="s">
        <v>505</v>
      </c>
    </row>
    <row r="30" spans="1:9" x14ac:dyDescent="0.35">
      <c r="A30" s="217" t="s">
        <v>509</v>
      </c>
      <c r="B30" s="231">
        <v>6</v>
      </c>
      <c r="C30" s="231">
        <f>COUNTIF(firms!C2:C160, "1800-1939")</f>
        <v>6</v>
      </c>
      <c r="D30" s="219">
        <f t="shared" ref="D30:D35" si="1">C30/159</f>
        <v>3.7735849056603772E-2</v>
      </c>
      <c r="H30" t="s">
        <v>508</v>
      </c>
      <c r="I30" s="134">
        <f>AVERAGE(firms!D2:D160)</f>
        <v>22.408805031446541</v>
      </c>
    </row>
    <row r="31" spans="1:9" x14ac:dyDescent="0.35">
      <c r="A31" s="218" t="s">
        <v>511</v>
      </c>
      <c r="B31" s="232">
        <v>10</v>
      </c>
      <c r="C31" s="232">
        <f>COUNTIF(firms!C2:C160, "1940-1964")</f>
        <v>10</v>
      </c>
      <c r="D31" s="238">
        <f t="shared" si="1"/>
        <v>6.2893081761006289E-2</v>
      </c>
      <c r="H31" t="s">
        <v>510</v>
      </c>
      <c r="I31" s="135">
        <f>_xlfn.STDEV.S(firms!D2:D160)</f>
        <v>27.10906566018231</v>
      </c>
    </row>
    <row r="32" spans="1:9" x14ac:dyDescent="0.35">
      <c r="A32" s="217" t="s">
        <v>513</v>
      </c>
      <c r="B32" s="231">
        <v>13</v>
      </c>
      <c r="C32" s="231">
        <f>COUNTIF(firms!C2:C160, "1965-1989")</f>
        <v>13</v>
      </c>
      <c r="D32" s="219">
        <f t="shared" si="1"/>
        <v>8.1761006289308172E-2</v>
      </c>
      <c r="H32" t="s">
        <v>512</v>
      </c>
      <c r="I32">
        <f>MAX(firms!D2:D160)</f>
        <v>159</v>
      </c>
    </row>
    <row r="33" spans="1:9" x14ac:dyDescent="0.35">
      <c r="A33" s="218" t="s">
        <v>515</v>
      </c>
      <c r="B33" s="233">
        <v>15</v>
      </c>
      <c r="C33" s="233">
        <f>COUNTIF(firms!C2:C160, "1990-2000")</f>
        <v>15</v>
      </c>
      <c r="D33" s="238">
        <f t="shared" si="1"/>
        <v>9.4339622641509441E-2</v>
      </c>
      <c r="H33" t="s">
        <v>514</v>
      </c>
      <c r="I33">
        <f>MIN(firms!D2:D160)</f>
        <v>1</v>
      </c>
    </row>
    <row r="34" spans="1:9" x14ac:dyDescent="0.35">
      <c r="A34" s="230">
        <v>2001</v>
      </c>
      <c r="B34" s="231">
        <f>COUNTIF(firms!B:B,Tabelle!A34)</f>
        <v>6</v>
      </c>
      <c r="C34" s="225">
        <f>COUNTIF(firms!C2:C160, "2001-2014")</f>
        <v>61</v>
      </c>
      <c r="D34" s="220">
        <f t="shared" si="1"/>
        <v>0.38364779874213839</v>
      </c>
      <c r="H34" t="s">
        <v>516</v>
      </c>
      <c r="I34">
        <f>QUARTILE(firms!D2:D160,1)</f>
        <v>7</v>
      </c>
    </row>
    <row r="35" spans="1:9" x14ac:dyDescent="0.35">
      <c r="A35" s="230">
        <v>2002</v>
      </c>
      <c r="B35" s="231">
        <f>COUNTIF(firms!B:B,Tabelle!A35)</f>
        <v>5</v>
      </c>
      <c r="C35" s="226"/>
      <c r="D35" s="221"/>
      <c r="H35" t="s">
        <v>517</v>
      </c>
      <c r="I35" s="136">
        <f>QUARTILE(firms!D2:D160,2)</f>
        <v>12</v>
      </c>
    </row>
    <row r="36" spans="1:9" x14ac:dyDescent="0.35">
      <c r="A36" s="230">
        <v>2003</v>
      </c>
      <c r="B36" s="231">
        <f>COUNTIF(firms!B:B,Tabelle!A36)</f>
        <v>1</v>
      </c>
      <c r="C36" s="226"/>
      <c r="D36" s="221"/>
      <c r="H36" t="s">
        <v>518</v>
      </c>
      <c r="I36">
        <f>QUARTILE(firms!D2:D160,3)</f>
        <v>23.5</v>
      </c>
    </row>
    <row r="37" spans="1:9" x14ac:dyDescent="0.35">
      <c r="A37" s="230">
        <v>2004</v>
      </c>
      <c r="B37" s="231">
        <f>COUNTIF(firms!B:B,Tabelle!A37)</f>
        <v>1</v>
      </c>
      <c r="C37" s="226"/>
      <c r="D37" s="221"/>
    </row>
    <row r="38" spans="1:9" x14ac:dyDescent="0.35">
      <c r="A38" s="230">
        <v>2005</v>
      </c>
      <c r="B38" s="231">
        <f>COUNTIF(firms!B:B,Tabelle!A38)</f>
        <v>3</v>
      </c>
      <c r="C38" s="226"/>
      <c r="D38" s="221"/>
    </row>
    <row r="39" spans="1:9" x14ac:dyDescent="0.35">
      <c r="A39" s="230">
        <v>2006</v>
      </c>
      <c r="B39" s="231">
        <f>COUNTIF(firms!B:B,Tabelle!A39)</f>
        <v>3</v>
      </c>
      <c r="C39" s="226"/>
      <c r="D39" s="221"/>
    </row>
    <row r="40" spans="1:9" x14ac:dyDescent="0.35">
      <c r="A40" s="230">
        <v>2007</v>
      </c>
      <c r="B40" s="231">
        <f>COUNTIF(firms!B:B,Tabelle!A40)</f>
        <v>5</v>
      </c>
      <c r="C40" s="226"/>
      <c r="D40" s="221"/>
    </row>
    <row r="41" spans="1:9" x14ac:dyDescent="0.35">
      <c r="A41" s="230">
        <v>2008</v>
      </c>
      <c r="B41" s="231">
        <f>COUNTIF(firms!B:B,Tabelle!A41)</f>
        <v>1</v>
      </c>
      <c r="C41" s="226"/>
      <c r="D41" s="221"/>
    </row>
    <row r="42" spans="1:9" x14ac:dyDescent="0.35">
      <c r="A42" s="230">
        <v>2009</v>
      </c>
      <c r="B42" s="231">
        <f>COUNTIF(firms!B:B,Tabelle!A42)</f>
        <v>3</v>
      </c>
      <c r="C42" s="226"/>
      <c r="D42" s="221"/>
    </row>
    <row r="43" spans="1:9" x14ac:dyDescent="0.35">
      <c r="A43" s="230">
        <v>2010</v>
      </c>
      <c r="B43" s="231">
        <f>COUNTIF(firms!B:B,Tabelle!A43)</f>
        <v>9</v>
      </c>
      <c r="C43" s="226"/>
      <c r="D43" s="221"/>
    </row>
    <row r="44" spans="1:9" x14ac:dyDescent="0.35">
      <c r="A44" s="230">
        <v>2011</v>
      </c>
      <c r="B44" s="231">
        <f>COUNTIF(firms!B:B,Tabelle!A44)</f>
        <v>8</v>
      </c>
      <c r="C44" s="226"/>
      <c r="D44" s="221"/>
    </row>
    <row r="45" spans="1:9" x14ac:dyDescent="0.35">
      <c r="A45" s="230">
        <v>2012</v>
      </c>
      <c r="B45" s="231">
        <f>COUNTIF(firms!B:B,Tabelle!A45)</f>
        <v>8</v>
      </c>
      <c r="C45" s="226"/>
      <c r="D45" s="221"/>
    </row>
    <row r="46" spans="1:9" x14ac:dyDescent="0.35">
      <c r="A46" s="230">
        <v>2013</v>
      </c>
      <c r="B46" s="231">
        <f>COUNTIF(firms!B:B,Tabelle!A46)</f>
        <v>8</v>
      </c>
      <c r="C46" s="226"/>
      <c r="D46" s="221"/>
    </row>
    <row r="47" spans="1:9" x14ac:dyDescent="0.35">
      <c r="A47" s="230">
        <v>2014</v>
      </c>
      <c r="B47" s="231">
        <f>COUNTIF(firms!B:B,Tabelle!A47)</f>
        <v>9</v>
      </c>
      <c r="C47" s="227"/>
      <c r="D47" s="222"/>
    </row>
    <row r="48" spans="1:9" x14ac:dyDescent="0.35">
      <c r="A48" s="237">
        <v>2015</v>
      </c>
      <c r="B48" s="233">
        <f>COUNTIF(firms!B:B,Tabelle!A48)</f>
        <v>12</v>
      </c>
      <c r="C48" s="228">
        <f>COUNTIF(firms!C2:C160, "2015-2022")</f>
        <v>54</v>
      </c>
      <c r="D48" s="223">
        <f>C48/159</f>
        <v>0.33962264150943394</v>
      </c>
    </row>
    <row r="49" spans="1:4" x14ac:dyDescent="0.35">
      <c r="A49" s="237">
        <v>2016</v>
      </c>
      <c r="B49" s="233">
        <f>COUNTIF(firms!B:B,Tabelle!A49)</f>
        <v>12</v>
      </c>
      <c r="C49" s="229"/>
      <c r="D49" s="224"/>
    </row>
    <row r="50" spans="1:4" x14ac:dyDescent="0.35">
      <c r="A50" s="237">
        <v>2017</v>
      </c>
      <c r="B50" s="233">
        <f>COUNTIF(firms!B:B,Tabelle!A50)</f>
        <v>15</v>
      </c>
      <c r="C50" s="229"/>
      <c r="D50" s="224"/>
    </row>
    <row r="51" spans="1:4" x14ac:dyDescent="0.35">
      <c r="A51" s="237">
        <v>2018</v>
      </c>
      <c r="B51" s="233">
        <f>COUNTIF(firms!B:B,Tabelle!A51)</f>
        <v>7</v>
      </c>
      <c r="C51" s="229"/>
      <c r="D51" s="224"/>
    </row>
    <row r="52" spans="1:4" x14ac:dyDescent="0.35">
      <c r="A52" s="237">
        <v>2019</v>
      </c>
      <c r="B52" s="233">
        <f>COUNTIF(firms!B:B,Tabelle!A52)</f>
        <v>6</v>
      </c>
      <c r="C52" s="229"/>
      <c r="D52" s="224"/>
    </row>
    <row r="53" spans="1:4" x14ac:dyDescent="0.35">
      <c r="A53" s="237">
        <v>2020</v>
      </c>
      <c r="B53" s="233">
        <f>COUNTIF(firms!B:B,Tabelle!A53)</f>
        <v>4</v>
      </c>
      <c r="C53" s="229"/>
      <c r="D53" s="224"/>
    </row>
    <row r="54" spans="1:4" x14ac:dyDescent="0.35">
      <c r="A54" s="237">
        <v>2021</v>
      </c>
      <c r="B54" s="233">
        <f>COUNTIF(firms!B:B,Tabelle!A54)</f>
        <v>0</v>
      </c>
      <c r="C54" s="229"/>
      <c r="D54" s="224"/>
    </row>
    <row r="55" spans="1:4" x14ac:dyDescent="0.35">
      <c r="A55" s="237">
        <v>2022</v>
      </c>
      <c r="B55" s="233">
        <f>COUNTIF(firms!B:B,Tabelle!A55)</f>
        <v>1</v>
      </c>
      <c r="C55" s="229"/>
      <c r="D55" s="224"/>
    </row>
  </sheetData>
  <mergeCells count="4">
    <mergeCell ref="C34:C47"/>
    <mergeCell ref="D34:D47"/>
    <mergeCell ref="C48:C55"/>
    <mergeCell ref="D48:D55"/>
  </mergeCells>
  <conditionalFormatting sqref="B13:B1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{AAF34952-5745-4F2B-90FB-8E1AC26B403D}</x14:id>
        </ext>
      </extLst>
    </cfRule>
  </conditionalFormatting>
  <pageMargins left="0.7" right="0.7" top="0.75" bottom="0.75" header="0.3" footer="0.3"/>
  <pageSetup paperSize="9" orientation="portrait" r:id="rId1"/>
  <headerFooter>
    <oddFooter>&amp;C&amp;1#&amp;"Calibri"&amp;10&amp;K000000Company Internal</oddFooter>
  </headerFooter>
  <tableParts count="5">
    <tablePart r:id="rId2"/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AF34952-5745-4F2B-90FB-8E1AC26B40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B13:B18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1" workbookViewId="0">
      <selection activeCell="H27" sqref="H27"/>
    </sheetView>
  </sheetViews>
  <sheetFormatPr defaultRowHeight="14.5" x14ac:dyDescent="0.35"/>
  <sheetData/>
  <pageMargins left="0.7" right="0.7" top="0.75" bottom="0.75" header="0.3" footer="0.3"/>
  <pageSetup paperSize="9" orientation="portrait" horizontalDpi="300" verticalDpi="0" r:id="rId1"/>
  <headerFooter>
    <oddFooter>&amp;C&amp;1#&amp;"Calibri"&amp;10&amp;K000000Company Internal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firms</vt:lpstr>
      <vt:lpstr>Analisi per Zona-Paese</vt:lpstr>
      <vt:lpstr>Tabelle</vt:lpstr>
      <vt:lpstr>Grafici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FIXED-TERM Librera Gianluca (EU2/SQW1.4)</dc:creator>
  <cp:keywords/>
  <dc:description/>
  <cp:lastModifiedBy>MASUCCI ANDREA</cp:lastModifiedBy>
  <cp:revision/>
  <dcterms:created xsi:type="dcterms:W3CDTF">2015-06-05T18:17:20Z</dcterms:created>
  <dcterms:modified xsi:type="dcterms:W3CDTF">2023-10-26T09:52:53Z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19f0ee-61d3-4495-a9fb-e48b2bab389f_Enabled">
    <vt:lpwstr>true</vt:lpwstr>
  </property>
  <property fmtid="{D5CDD505-2E9C-101B-9397-08002B2CF9AE}" pid="3" name="MSIP_Label_b819f0ee-61d3-4495-a9fb-e48b2bab389f_SetDate">
    <vt:lpwstr>2023-10-26T09:52:53Z</vt:lpwstr>
  </property>
  <property fmtid="{D5CDD505-2E9C-101B-9397-08002B2CF9AE}" pid="4" name="MSIP_Label_b819f0ee-61d3-4495-a9fb-e48b2bab389f_Method">
    <vt:lpwstr>Privileged</vt:lpwstr>
  </property>
  <property fmtid="{D5CDD505-2E9C-101B-9397-08002B2CF9AE}" pid="5" name="MSIP_Label_b819f0ee-61d3-4495-a9fb-e48b2bab389f_Name">
    <vt:lpwstr>b819f0ee-61d3-4495-a9fb-e48b2bab389f</vt:lpwstr>
  </property>
  <property fmtid="{D5CDD505-2E9C-101B-9397-08002B2CF9AE}" pid="6" name="MSIP_Label_b819f0ee-61d3-4495-a9fb-e48b2bab389f_SiteId">
    <vt:lpwstr>31ae1cef-2393-4eb1-8962-4e4bbfccd663</vt:lpwstr>
  </property>
  <property fmtid="{D5CDD505-2E9C-101B-9397-08002B2CF9AE}" pid="7" name="MSIP_Label_b819f0ee-61d3-4495-a9fb-e48b2bab389f_ActionId">
    <vt:lpwstr>a71a634c-4d9d-4939-8765-47c955ea8757</vt:lpwstr>
  </property>
  <property fmtid="{D5CDD505-2E9C-101B-9397-08002B2CF9AE}" pid="8" name="MSIP_Label_b819f0ee-61d3-4495-a9fb-e48b2bab389f_ContentBits">
    <vt:lpwstr>2</vt:lpwstr>
  </property>
</Properties>
</file>